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60" yWindow="0" windowWidth="11475" windowHeight="11760" tabRatio="713"/>
  </bookViews>
  <sheets>
    <sheet name="Notes" sheetId="7" r:id="rId1"/>
    <sheet name="Summary" sheetId="4" r:id="rId2"/>
    <sheet name="Priority Actions" sheetId="1" r:id="rId3"/>
    <sheet name="GEF projects" sheetId="2" r:id="rId4"/>
    <sheet name="NBSAPs" sheetId="5" r:id="rId5"/>
    <sheet name="All Country Data" sheetId="3" r:id="rId6"/>
  </sheets>
  <definedNames>
    <definedName name="_xlnm._FilterDatabase" localSheetId="5" hidden="1">'All Country Data'!$A$1:$J$251</definedName>
    <definedName name="_xlnm._FilterDatabase" localSheetId="3" hidden="1">'GEF projects'!$A$1:$M$71</definedName>
    <definedName name="_xlnm._FilterDatabase" localSheetId="4" hidden="1">NBSAPs!$A$1:$E$73</definedName>
  </definedNames>
  <calcPr calcId="145621"/>
</workbook>
</file>

<file path=xl/calcChain.xml><?xml version="1.0" encoding="utf-8"?>
<calcChain xmlns="http://schemas.openxmlformats.org/spreadsheetml/2006/main">
  <c r="H145" i="3" l="1"/>
  <c r="H47" i="3"/>
  <c r="H53" i="3"/>
  <c r="H181" i="3" l="1"/>
  <c r="H54" i="3" l="1"/>
  <c r="C11" i="1"/>
  <c r="I224" i="3" l="1"/>
  <c r="J30" i="3"/>
  <c r="I211" i="3"/>
  <c r="I22" i="3" l="1"/>
  <c r="I2" i="3"/>
  <c r="I8" i="3"/>
  <c r="I11" i="3"/>
  <c r="I20" i="3"/>
  <c r="H20" i="3" s="1"/>
  <c r="I25" i="3"/>
  <c r="I33" i="3"/>
  <c r="I42" i="3"/>
  <c r="I48" i="3"/>
  <c r="I53" i="3"/>
  <c r="I54" i="3"/>
  <c r="I55" i="3"/>
  <c r="I57" i="3"/>
  <c r="I60" i="3"/>
  <c r="I65" i="3"/>
  <c r="I71" i="3"/>
  <c r="I72" i="3"/>
  <c r="I74" i="3"/>
  <c r="I79" i="3"/>
  <c r="I86" i="3"/>
  <c r="I87" i="3"/>
  <c r="I93" i="3"/>
  <c r="I107" i="3"/>
  <c r="I108" i="3"/>
  <c r="I109" i="3"/>
  <c r="I110" i="3"/>
  <c r="I119" i="3"/>
  <c r="I121" i="3"/>
  <c r="I124" i="3"/>
  <c r="I125" i="3"/>
  <c r="I134" i="3"/>
  <c r="I143" i="3"/>
  <c r="I145" i="3"/>
  <c r="I148" i="3" l="1"/>
  <c r="H148" i="3" s="1"/>
  <c r="I152" i="3"/>
  <c r="I153" i="3"/>
  <c r="I163" i="3"/>
  <c r="I168" i="3"/>
  <c r="I169" i="3"/>
  <c r="I171" i="3"/>
  <c r="I173" i="3"/>
  <c r="I189" i="3"/>
  <c r="I192" i="3"/>
  <c r="I205" i="3"/>
  <c r="I207" i="3"/>
  <c r="I216" i="3"/>
  <c r="I221" i="3"/>
  <c r="I222" i="3"/>
  <c r="B54" i="2"/>
  <c r="I228" i="3"/>
  <c r="I230" i="3"/>
  <c r="I234" i="3"/>
  <c r="I238" i="3"/>
  <c r="I242" i="3"/>
  <c r="H242" i="3" s="1"/>
  <c r="I243" i="3"/>
  <c r="H243" i="3" s="1"/>
  <c r="I244" i="3"/>
  <c r="I246" i="3"/>
  <c r="I250" i="3"/>
  <c r="H250" i="3" s="1"/>
  <c r="B62" i="2" l="1"/>
  <c r="I223" i="3" l="1"/>
  <c r="B53" i="2" s="1"/>
  <c r="B36" i="2" l="1"/>
  <c r="B35" i="2"/>
  <c r="B12" i="2"/>
  <c r="B11" i="2"/>
  <c r="D43" i="5" l="1"/>
  <c r="J188" i="3" l="1"/>
  <c r="H246" i="3"/>
  <c r="C7" i="4" l="1"/>
  <c r="J105" i="3" l="1"/>
  <c r="F57" i="3" l="1"/>
  <c r="H235" i="3" l="1"/>
  <c r="H203" i="3"/>
  <c r="H216" i="3"/>
  <c r="C28" i="1" l="1"/>
  <c r="H151" i="3"/>
  <c r="H129" i="3"/>
  <c r="H128" i="3"/>
  <c r="C22" i="1"/>
  <c r="H127" i="3" l="1"/>
  <c r="H180" i="3" l="1"/>
  <c r="C33" i="1"/>
  <c r="H64" i="3" l="1"/>
  <c r="F17" i="3" l="1"/>
  <c r="G17" i="3" s="1"/>
  <c r="G33" i="3"/>
  <c r="D12" i="5" s="1"/>
  <c r="G74" i="3" l="1"/>
  <c r="D25" i="5" s="1"/>
  <c r="J47" i="3" l="1"/>
  <c r="J3" i="3"/>
  <c r="J5" i="3"/>
  <c r="J6" i="3"/>
  <c r="J7" i="3"/>
  <c r="J8" i="3"/>
  <c r="J9" i="3"/>
  <c r="J10" i="3"/>
  <c r="J13" i="3"/>
  <c r="J14" i="3"/>
  <c r="J15" i="3"/>
  <c r="J204" i="3"/>
  <c r="J17" i="3"/>
  <c r="J18" i="3"/>
  <c r="J19" i="3"/>
  <c r="J21" i="3"/>
  <c r="J133" i="3"/>
  <c r="J24" i="3"/>
  <c r="J26" i="3"/>
  <c r="J27" i="3"/>
  <c r="J28" i="3"/>
  <c r="J29" i="3"/>
  <c r="J32" i="3"/>
  <c r="J33" i="3"/>
  <c r="J34" i="3"/>
  <c r="J35" i="3"/>
  <c r="J36" i="3"/>
  <c r="J176" i="3"/>
  <c r="J38" i="3"/>
  <c r="J40" i="3"/>
  <c r="J41" i="3"/>
  <c r="J44" i="3"/>
  <c r="J45" i="3"/>
  <c r="J46" i="3"/>
  <c r="J49" i="3"/>
  <c r="J50" i="3"/>
  <c r="J51" i="3"/>
  <c r="J52" i="3"/>
  <c r="J53" i="3"/>
  <c r="J56" i="3"/>
  <c r="J58" i="3"/>
  <c r="J59" i="3"/>
  <c r="J61" i="3"/>
  <c r="J91" i="3"/>
  <c r="J67" i="3"/>
  <c r="J69" i="3"/>
  <c r="J70" i="3"/>
  <c r="J71" i="3"/>
  <c r="J72" i="3"/>
  <c r="J73" i="3"/>
  <c r="J74" i="3"/>
  <c r="J37" i="3"/>
  <c r="J77" i="3"/>
  <c r="J78" i="3"/>
  <c r="J79" i="3"/>
  <c r="J237" i="3"/>
  <c r="J210" i="3"/>
  <c r="J82" i="3"/>
  <c r="J83" i="3"/>
  <c r="J84" i="3"/>
  <c r="J85" i="3"/>
  <c r="J16" i="3"/>
  <c r="J89" i="3"/>
  <c r="J90" i="3"/>
  <c r="J81" i="3"/>
  <c r="J92" i="3"/>
  <c r="J93" i="3"/>
  <c r="J94" i="3"/>
  <c r="J95" i="3"/>
  <c r="J96" i="3"/>
  <c r="J97" i="3"/>
  <c r="J99" i="3"/>
  <c r="J101" i="3"/>
  <c r="J102" i="3"/>
  <c r="J103" i="3"/>
  <c r="J104" i="3"/>
  <c r="J183" i="3"/>
  <c r="J106" i="3"/>
  <c r="J107" i="3"/>
  <c r="J108" i="3"/>
  <c r="J109" i="3"/>
  <c r="J110" i="3"/>
  <c r="J112" i="3"/>
  <c r="J113" i="3"/>
  <c r="J117" i="3"/>
  <c r="J119" i="3"/>
  <c r="J120" i="3"/>
  <c r="J122" i="3"/>
  <c r="J123" i="3"/>
  <c r="J124" i="3"/>
  <c r="J125" i="3"/>
  <c r="J177" i="3"/>
  <c r="J130" i="3"/>
  <c r="J131" i="3"/>
  <c r="J63" i="3"/>
  <c r="J134" i="3"/>
  <c r="J135" i="3"/>
  <c r="J136" i="3"/>
  <c r="J137" i="3"/>
  <c r="J114" i="3"/>
  <c r="J140" i="3"/>
  <c r="J141" i="3"/>
  <c r="J142" i="3"/>
  <c r="J143" i="3"/>
  <c r="J144" i="3"/>
  <c r="J146" i="3"/>
  <c r="J147" i="3"/>
  <c r="J150" i="3"/>
  <c r="J152" i="3"/>
  <c r="J154" i="3"/>
  <c r="J155" i="3"/>
  <c r="J156" i="3"/>
  <c r="J75" i="3"/>
  <c r="J158" i="3"/>
  <c r="J159" i="3"/>
  <c r="J160" i="3"/>
  <c r="J161" i="3"/>
  <c r="J162" i="3"/>
  <c r="J164" i="3"/>
  <c r="J165" i="3"/>
  <c r="J166" i="3"/>
  <c r="J167" i="3"/>
  <c r="J168" i="3"/>
  <c r="J169" i="3"/>
  <c r="J170" i="3"/>
  <c r="J171" i="3"/>
  <c r="J173" i="3"/>
  <c r="J174" i="3"/>
  <c r="J175" i="3"/>
  <c r="J62" i="3"/>
  <c r="J126" i="3"/>
  <c r="J178" i="3"/>
  <c r="J179" i="3"/>
  <c r="J182" i="3"/>
  <c r="J66" i="3"/>
  <c r="J186" i="3"/>
  <c r="J187" i="3"/>
  <c r="J189" i="3"/>
  <c r="J190" i="3"/>
  <c r="J191" i="3"/>
  <c r="J192" i="3"/>
  <c r="J194" i="3"/>
  <c r="J195" i="3"/>
  <c r="J196" i="3"/>
  <c r="J197" i="3"/>
  <c r="J198" i="3"/>
  <c r="J200" i="3"/>
  <c r="J201" i="3"/>
  <c r="J202" i="3"/>
  <c r="J132" i="3"/>
  <c r="J206" i="3"/>
  <c r="J208" i="3"/>
  <c r="J209" i="3"/>
  <c r="J111" i="3"/>
  <c r="J211" i="3"/>
  <c r="J212" i="3"/>
  <c r="J214" i="3"/>
  <c r="J215" i="3"/>
  <c r="J216" i="3"/>
  <c r="J218" i="3"/>
  <c r="J219" i="3"/>
  <c r="J220" i="3"/>
  <c r="J221" i="3"/>
  <c r="J222" i="3"/>
  <c r="J223" i="3"/>
  <c r="J224" i="3"/>
  <c r="J225" i="3"/>
  <c r="J226" i="3"/>
  <c r="J227" i="3"/>
  <c r="J228" i="3"/>
  <c r="J229" i="3"/>
  <c r="J230" i="3"/>
  <c r="J231" i="3"/>
  <c r="J232" i="3"/>
  <c r="J233" i="3"/>
  <c r="J236" i="3"/>
  <c r="J157" i="3"/>
  <c r="J238" i="3"/>
  <c r="J239" i="3"/>
  <c r="J240" i="3"/>
  <c r="J241" i="3"/>
  <c r="J243" i="3"/>
  <c r="J244" i="3"/>
  <c r="J245" i="3"/>
  <c r="J247" i="3"/>
  <c r="J248" i="3"/>
  <c r="J249" i="3"/>
  <c r="J250" i="3"/>
  <c r="C6" i="1"/>
  <c r="J20" i="3"/>
  <c r="J148" i="3" l="1"/>
  <c r="H149" i="3"/>
  <c r="G163" i="3" l="1"/>
  <c r="J163" i="3" l="1"/>
  <c r="D51" i="5"/>
  <c r="C24" i="1" l="1"/>
  <c r="J128" i="3"/>
  <c r="H65" i="3"/>
  <c r="J54" i="3"/>
  <c r="H42" i="3"/>
  <c r="C8" i="1"/>
  <c r="J31" i="3"/>
  <c r="H57" i="3" l="1"/>
  <c r="J127" i="3"/>
  <c r="G57" i="3" l="1"/>
  <c r="J203" i="3"/>
  <c r="J57" i="3" l="1"/>
  <c r="C47" i="1"/>
  <c r="B2" i="4" l="1"/>
  <c r="C2" i="4" s="1"/>
  <c r="D3" i="3"/>
  <c r="D4" i="3"/>
  <c r="F4" i="3" s="1"/>
  <c r="D5" i="3"/>
  <c r="D6" i="3"/>
  <c r="D7" i="3"/>
  <c r="D8" i="3"/>
  <c r="D9" i="3"/>
  <c r="D11" i="3"/>
  <c r="F11" i="3" s="1"/>
  <c r="G11" i="3" s="1"/>
  <c r="J11" i="3" s="1"/>
  <c r="D12" i="3"/>
  <c r="F12" i="3" s="1"/>
  <c r="G12" i="3" s="1"/>
  <c r="D13" i="3"/>
  <c r="D14" i="3"/>
  <c r="D15" i="3"/>
  <c r="D16" i="3"/>
  <c r="D17" i="3"/>
  <c r="D18" i="3"/>
  <c r="D19" i="3"/>
  <c r="D20" i="3"/>
  <c r="D21" i="3"/>
  <c r="D22" i="3"/>
  <c r="F22" i="3" s="1"/>
  <c r="G22" i="3" s="1"/>
  <c r="D8" i="5" s="1"/>
  <c r="D23" i="3"/>
  <c r="F23" i="3" s="1"/>
  <c r="G23" i="3" s="1"/>
  <c r="D24" i="3"/>
  <c r="D25" i="3"/>
  <c r="F25" i="3" s="1"/>
  <c r="G25" i="3" s="1"/>
  <c r="D26" i="3"/>
  <c r="D27" i="3"/>
  <c r="D28" i="3"/>
  <c r="D29" i="3"/>
  <c r="D30" i="3"/>
  <c r="D31" i="3"/>
  <c r="D32" i="3"/>
  <c r="D33" i="3"/>
  <c r="D34" i="3"/>
  <c r="D35" i="3"/>
  <c r="D36" i="3"/>
  <c r="D37" i="3"/>
  <c r="D38" i="3"/>
  <c r="D39" i="3"/>
  <c r="F39" i="3" s="1"/>
  <c r="G39" i="3" s="1"/>
  <c r="D40" i="3"/>
  <c r="D41" i="3"/>
  <c r="D42" i="3"/>
  <c r="D43" i="3"/>
  <c r="F43" i="3" s="1"/>
  <c r="G43" i="3" s="1"/>
  <c r="D44" i="3"/>
  <c r="D45" i="3"/>
  <c r="D46" i="3"/>
  <c r="D47" i="3"/>
  <c r="D48" i="3"/>
  <c r="F48" i="3" s="1"/>
  <c r="G48" i="3" s="1"/>
  <c r="D49" i="3"/>
  <c r="D51" i="3"/>
  <c r="D53" i="3"/>
  <c r="D54" i="3"/>
  <c r="D55" i="3"/>
  <c r="F55" i="3" s="1"/>
  <c r="G55" i="3" s="1"/>
  <c r="D56" i="3"/>
  <c r="D57" i="3"/>
  <c r="D58" i="3"/>
  <c r="D59" i="3"/>
  <c r="D60" i="3"/>
  <c r="F60" i="3" s="1"/>
  <c r="G60" i="3" s="1"/>
  <c r="D20" i="5" s="1"/>
  <c r="D61" i="3"/>
  <c r="D62" i="3"/>
  <c r="D63" i="3"/>
  <c r="D64" i="3"/>
  <c r="F64" i="3" s="1"/>
  <c r="G64" i="3" s="1"/>
  <c r="D65" i="3"/>
  <c r="F65" i="3" s="1"/>
  <c r="G65" i="3" s="1"/>
  <c r="D66" i="3"/>
  <c r="D67" i="3"/>
  <c r="D68" i="3"/>
  <c r="F68" i="3" s="1"/>
  <c r="G68" i="3" s="1"/>
  <c r="D69" i="3"/>
  <c r="D70" i="3"/>
  <c r="D71" i="3"/>
  <c r="D72" i="3"/>
  <c r="D73" i="3"/>
  <c r="D74" i="3"/>
  <c r="D75" i="3"/>
  <c r="D76" i="3"/>
  <c r="F76" i="3" s="1"/>
  <c r="G76" i="3" s="1"/>
  <c r="D19" i="5" s="1"/>
  <c r="D77" i="3"/>
  <c r="D78" i="3"/>
  <c r="D79" i="3"/>
  <c r="D80" i="3"/>
  <c r="F80" i="3" s="1"/>
  <c r="G80" i="3" s="1"/>
  <c r="D27" i="5" s="1"/>
  <c r="D81" i="3"/>
  <c r="D82" i="3"/>
  <c r="D83" i="3"/>
  <c r="D84" i="3"/>
  <c r="D85" i="3"/>
  <c r="D86" i="3"/>
  <c r="F86" i="3" s="1"/>
  <c r="G86" i="3" s="1"/>
  <c r="D28" i="5" s="1"/>
  <c r="D87" i="3"/>
  <c r="F87" i="3" s="1"/>
  <c r="G87" i="3" s="1"/>
  <c r="D29" i="5" s="1"/>
  <c r="D88" i="3"/>
  <c r="D89" i="3"/>
  <c r="D90" i="3"/>
  <c r="D91" i="3"/>
  <c r="D92" i="3"/>
  <c r="D93" i="3"/>
  <c r="D94" i="3"/>
  <c r="D95" i="3"/>
  <c r="D96" i="3"/>
  <c r="D97" i="3"/>
  <c r="D98" i="3"/>
  <c r="F98" i="3" s="1"/>
  <c r="G98" i="3" s="1"/>
  <c r="D99" i="3"/>
  <c r="D100" i="3"/>
  <c r="F100" i="3" s="1"/>
  <c r="G100" i="3" s="1"/>
  <c r="D101" i="3"/>
  <c r="D102" i="3"/>
  <c r="D104" i="3"/>
  <c r="D105" i="3"/>
  <c r="D106" i="3"/>
  <c r="D107" i="3"/>
  <c r="D108" i="3"/>
  <c r="D109" i="3"/>
  <c r="D110" i="3"/>
  <c r="D111" i="3"/>
  <c r="D112" i="3"/>
  <c r="D113" i="3"/>
  <c r="D114" i="3"/>
  <c r="D115" i="3"/>
  <c r="F115" i="3" s="1"/>
  <c r="G115" i="3" s="1"/>
  <c r="D116" i="3"/>
  <c r="F116" i="3" s="1"/>
  <c r="G116" i="3" s="1"/>
  <c r="D117" i="3"/>
  <c r="D118" i="3"/>
  <c r="F118" i="3" s="1"/>
  <c r="G118" i="3" s="1"/>
  <c r="D119" i="3"/>
  <c r="D120" i="3"/>
  <c r="D121" i="3"/>
  <c r="D123" i="3"/>
  <c r="D124" i="3"/>
  <c r="D125" i="3"/>
  <c r="D126" i="3"/>
  <c r="D127" i="3"/>
  <c r="D128" i="3"/>
  <c r="D129" i="3"/>
  <c r="F129" i="3" s="1"/>
  <c r="G129" i="3" s="1"/>
  <c r="D130" i="3"/>
  <c r="D131" i="3"/>
  <c r="D132" i="3"/>
  <c r="D133" i="3"/>
  <c r="D134" i="3"/>
  <c r="D135" i="3"/>
  <c r="D136" i="3"/>
  <c r="D137" i="3"/>
  <c r="D138" i="3"/>
  <c r="F138" i="3" s="1"/>
  <c r="G138" i="3" s="1"/>
  <c r="D139" i="3"/>
  <c r="F139" i="3" s="1"/>
  <c r="G139" i="3" s="1"/>
  <c r="J139" i="3" s="1"/>
  <c r="D140" i="3"/>
  <c r="D141" i="3"/>
  <c r="D142" i="3"/>
  <c r="D143" i="3"/>
  <c r="D144" i="3"/>
  <c r="D145" i="3"/>
  <c r="F145" i="3" s="1"/>
  <c r="G145" i="3" s="1"/>
  <c r="D146" i="3"/>
  <c r="D147" i="3"/>
  <c r="D148" i="3"/>
  <c r="D149" i="3"/>
  <c r="F149" i="3" s="1"/>
  <c r="G149" i="3" s="1"/>
  <c r="D150" i="3"/>
  <c r="D151" i="3"/>
  <c r="F151" i="3" s="1"/>
  <c r="G151" i="3" s="1"/>
  <c r="J151" i="3" s="1"/>
  <c r="D152" i="3"/>
  <c r="D153" i="3"/>
  <c r="F153" i="3" s="1"/>
  <c r="G153" i="3" s="1"/>
  <c r="D154" i="3"/>
  <c r="D156" i="3"/>
  <c r="D157" i="3"/>
  <c r="D158" i="3"/>
  <c r="D159" i="3"/>
  <c r="D160" i="3"/>
  <c r="D161" i="3"/>
  <c r="D162" i="3"/>
  <c r="D163" i="3"/>
  <c r="D164" i="3"/>
  <c r="D165" i="3"/>
  <c r="D166" i="3"/>
  <c r="D167" i="3"/>
  <c r="D168" i="3"/>
  <c r="D169" i="3"/>
  <c r="D170" i="3"/>
  <c r="D171" i="3"/>
  <c r="D172" i="3"/>
  <c r="F172" i="3" s="1"/>
  <c r="G172" i="3" s="1"/>
  <c r="D173" i="3"/>
  <c r="D174" i="3"/>
  <c r="D175" i="3"/>
  <c r="D176" i="3"/>
  <c r="D177" i="3"/>
  <c r="D178" i="3"/>
  <c r="D179" i="3"/>
  <c r="D180" i="3"/>
  <c r="F180" i="3" s="1"/>
  <c r="G180" i="3" s="1"/>
  <c r="D54" i="5" s="1"/>
  <c r="D181" i="3"/>
  <c r="F181" i="3" s="1"/>
  <c r="G181" i="3" s="1"/>
  <c r="D182" i="3"/>
  <c r="D183" i="3"/>
  <c r="D184" i="3"/>
  <c r="F184" i="3" s="1"/>
  <c r="G184" i="3" s="1"/>
  <c r="D56" i="5" s="1"/>
  <c r="D185" i="3"/>
  <c r="F185" i="3" s="1"/>
  <c r="G185" i="3" s="1"/>
  <c r="D7" i="5" s="1"/>
  <c r="D186" i="3"/>
  <c r="D187" i="3"/>
  <c r="D188" i="3"/>
  <c r="D189" i="3"/>
  <c r="D190" i="3"/>
  <c r="D191" i="3"/>
  <c r="D192" i="3"/>
  <c r="D193" i="3"/>
  <c r="F193" i="3" s="1"/>
  <c r="G193" i="3" s="1"/>
  <c r="D195" i="3"/>
  <c r="D196" i="3"/>
  <c r="D197" i="3"/>
  <c r="D198" i="3"/>
  <c r="D199" i="3"/>
  <c r="F199" i="3" s="1"/>
  <c r="G199" i="3" s="1"/>
  <c r="D200" i="3"/>
  <c r="D201" i="3"/>
  <c r="D202" i="3"/>
  <c r="D203" i="3"/>
  <c r="D204" i="3"/>
  <c r="D205" i="3"/>
  <c r="F205" i="3" s="1"/>
  <c r="G205" i="3" s="1"/>
  <c r="D206" i="3"/>
  <c r="D207" i="3"/>
  <c r="F207" i="3" s="1"/>
  <c r="G207" i="3" s="1"/>
  <c r="J207" i="3" s="1"/>
  <c r="D209" i="3"/>
  <c r="D210" i="3"/>
  <c r="D211" i="3"/>
  <c r="D212" i="3"/>
  <c r="D213" i="3"/>
  <c r="F213" i="3" s="1"/>
  <c r="G213" i="3" s="1"/>
  <c r="D214" i="3"/>
  <c r="D215" i="3"/>
  <c r="D216" i="3"/>
  <c r="D217" i="3"/>
  <c r="F217" i="3" s="1"/>
  <c r="G217" i="3" s="1"/>
  <c r="J217" i="3" s="1"/>
  <c r="D218" i="3"/>
  <c r="D219" i="3"/>
  <c r="D220" i="3"/>
  <c r="D221" i="3"/>
  <c r="D222" i="3"/>
  <c r="D223" i="3"/>
  <c r="D224" i="3"/>
  <c r="D225" i="3"/>
  <c r="D226" i="3"/>
  <c r="D227" i="3"/>
  <c r="D228" i="3"/>
  <c r="D229" i="3"/>
  <c r="D230" i="3"/>
  <c r="D231" i="3"/>
  <c r="D232" i="3"/>
  <c r="D233" i="3"/>
  <c r="D234" i="3"/>
  <c r="F234" i="3" s="1"/>
  <c r="G234" i="3" s="1"/>
  <c r="D235" i="3"/>
  <c r="D236" i="3"/>
  <c r="D237" i="3"/>
  <c r="D238" i="3"/>
  <c r="D240" i="3"/>
  <c r="D241" i="3"/>
  <c r="D242" i="3"/>
  <c r="F242" i="3" s="1"/>
  <c r="G242" i="3" s="1"/>
  <c r="J242" i="3" s="1"/>
  <c r="D243" i="3"/>
  <c r="D244" i="3"/>
  <c r="D245" i="3"/>
  <c r="D246" i="3"/>
  <c r="F246" i="3" s="1"/>
  <c r="G246" i="3" s="1"/>
  <c r="J246" i="3" s="1"/>
  <c r="D247" i="3"/>
  <c r="D248" i="3"/>
  <c r="D249" i="3"/>
  <c r="D250" i="3"/>
  <c r="D251" i="3"/>
  <c r="F251" i="3" s="1"/>
  <c r="G251" i="3" s="1"/>
  <c r="J251" i="3" s="1"/>
  <c r="D2" i="3"/>
  <c r="F2" i="3" s="1"/>
  <c r="G2" i="3" s="1"/>
  <c r="D2" i="5" s="1"/>
  <c r="D6" i="5" l="1"/>
  <c r="J213" i="3"/>
  <c r="D63" i="5"/>
  <c r="J138" i="3"/>
  <c r="D42" i="5"/>
  <c r="J121" i="3"/>
  <c r="J100" i="3"/>
  <c r="D33" i="5"/>
  <c r="J88" i="3"/>
  <c r="J76" i="3"/>
  <c r="D26" i="5"/>
  <c r="J153" i="3"/>
  <c r="D49" i="5"/>
  <c r="J149" i="3"/>
  <c r="D47" i="5"/>
  <c r="J129" i="3"/>
  <c r="D39" i="5"/>
  <c r="F235" i="3"/>
  <c r="G235" i="3" s="1"/>
  <c r="J235" i="3" s="1"/>
  <c r="J185" i="3"/>
  <c r="D57" i="5"/>
  <c r="J181" i="3"/>
  <c r="D55" i="5"/>
  <c r="D32" i="5"/>
  <c r="J98" i="3"/>
  <c r="J234" i="3"/>
  <c r="D66" i="5"/>
  <c r="J172" i="3"/>
  <c r="D52" i="5"/>
  <c r="J64" i="3"/>
  <c r="D21" i="5"/>
  <c r="J55" i="3"/>
  <c r="D18" i="5"/>
  <c r="J25" i="3"/>
  <c r="D10" i="5"/>
  <c r="G4" i="3"/>
  <c r="J4" i="3" s="1"/>
  <c r="D3" i="5"/>
  <c r="D16" i="5"/>
  <c r="J48" i="3"/>
  <c r="J65" i="3"/>
  <c r="D22" i="5"/>
  <c r="J39" i="3"/>
  <c r="D13" i="5"/>
  <c r="J42" i="3"/>
  <c r="J22" i="3"/>
  <c r="J2" i="3"/>
  <c r="J80" i="3"/>
  <c r="J23" i="3"/>
  <c r="D23" i="5"/>
  <c r="J68" i="3"/>
  <c r="J60" i="3"/>
  <c r="D59" i="5"/>
  <c r="J199" i="3"/>
  <c r="D45" i="5"/>
  <c r="J145" i="3"/>
  <c r="D36" i="5"/>
  <c r="J116" i="3"/>
  <c r="J87" i="3"/>
  <c r="D58" i="5"/>
  <c r="J193" i="3"/>
  <c r="D35" i="5"/>
  <c r="J115" i="3"/>
  <c r="J86" i="3"/>
  <c r="J12" i="3"/>
  <c r="D60" i="5"/>
  <c r="J205" i="3"/>
  <c r="J184" i="3"/>
  <c r="J180" i="3"/>
  <c r="D37" i="5"/>
  <c r="J118" i="3"/>
  <c r="D15" i="5"/>
  <c r="J43" i="3"/>
  <c r="B8" i="2" s="1"/>
  <c r="D71" i="5"/>
  <c r="D70" i="5"/>
  <c r="D69" i="5"/>
  <c r="D65" i="5"/>
  <c r="I30" i="3" l="1"/>
  <c r="B65" i="2"/>
  <c r="B3" i="4" s="1"/>
  <c r="C3" i="4" s="1"/>
  <c r="D73" i="5"/>
  <c r="B4" i="4" s="1"/>
  <c r="C4" i="4" s="1"/>
  <c r="C6" i="4" l="1"/>
  <c r="B6" i="4"/>
  <c r="C8" i="4" l="1"/>
</calcChain>
</file>

<file path=xl/sharedStrings.xml><?xml version="1.0" encoding="utf-8"?>
<sst xmlns="http://schemas.openxmlformats.org/spreadsheetml/2006/main" count="834" uniqueCount="530">
  <si>
    <t>Country or Area</t>
  </si>
  <si>
    <t>Area 
land (km²)</t>
  </si>
  <si>
    <t>Area of PAs (km²) June 2017</t>
  </si>
  <si>
    <t>% coverage 
June 2017</t>
  </si>
  <si>
    <t>United Republic of Tanzania</t>
  </si>
  <si>
    <t>Mexico</t>
  </si>
  <si>
    <t>Canada</t>
  </si>
  <si>
    <t>South Africa</t>
  </si>
  <si>
    <t>Chad</t>
  </si>
  <si>
    <t>Iran (Islamic Republic of)</t>
  </si>
  <si>
    <t>Mozambique</t>
  </si>
  <si>
    <t>Guinea</t>
  </si>
  <si>
    <t>Congo</t>
  </si>
  <si>
    <t>Gabon</t>
  </si>
  <si>
    <t>Sudan</t>
  </si>
  <si>
    <t>Cuba</t>
  </si>
  <si>
    <t>Argentina</t>
  </si>
  <si>
    <t>Tunisia</t>
  </si>
  <si>
    <t>Republic of Korea</t>
  </si>
  <si>
    <t>Iraq</t>
  </si>
  <si>
    <t>Madagascar</t>
  </si>
  <si>
    <t>Colombia</t>
  </si>
  <si>
    <t>Zimbabwe</t>
  </si>
  <si>
    <t>Liberia</t>
  </si>
  <si>
    <t>Uruguay</t>
  </si>
  <si>
    <t>Kenya</t>
  </si>
  <si>
    <t>Belarus</t>
  </si>
  <si>
    <t>Chile</t>
  </si>
  <si>
    <t>Timor-Leste</t>
  </si>
  <si>
    <t>China</t>
  </si>
  <si>
    <t>Luxembourg</t>
  </si>
  <si>
    <t>Honduras</t>
  </si>
  <si>
    <t>State of Palestine</t>
  </si>
  <si>
    <t>United Kingdom of Great Britain and Northern Ireland</t>
  </si>
  <si>
    <t>Spain</t>
  </si>
  <si>
    <t>Myanmar</t>
  </si>
  <si>
    <t>Czechia</t>
  </si>
  <si>
    <t>Germany</t>
  </si>
  <si>
    <t>Nepal</t>
  </si>
  <si>
    <t>Romania</t>
  </si>
  <si>
    <t>Norway</t>
  </si>
  <si>
    <t>Burundi</t>
  </si>
  <si>
    <t>Guinea-Bissau</t>
  </si>
  <si>
    <t>Jordan</t>
  </si>
  <si>
    <t>Ukraine</t>
  </si>
  <si>
    <t>Rwanda</t>
  </si>
  <si>
    <t>Croatia</t>
  </si>
  <si>
    <t>Belize</t>
  </si>
  <si>
    <t>India</t>
  </si>
  <si>
    <t>Morocco</t>
  </si>
  <si>
    <t>Aruba</t>
  </si>
  <si>
    <t>Viet Nam</t>
  </si>
  <si>
    <t>Russian Federation</t>
  </si>
  <si>
    <t>Cyprus</t>
  </si>
  <si>
    <t>Lithuania</t>
  </si>
  <si>
    <t>Dominican Republic</t>
  </si>
  <si>
    <t>Philippines</t>
  </si>
  <si>
    <t>Namibia</t>
  </si>
  <si>
    <t>Isle of Man</t>
  </si>
  <si>
    <t>Belgium</t>
  </si>
  <si>
    <t>Åland Islands</t>
  </si>
  <si>
    <t>French Southern and Antarctic Territories</t>
  </si>
  <si>
    <t>Palau</t>
  </si>
  <si>
    <t>Serbia</t>
  </si>
  <si>
    <t>Thailand</t>
  </si>
  <si>
    <t>Cabo Verde</t>
  </si>
  <si>
    <t>Swaziland</t>
  </si>
  <si>
    <t>Bhutan</t>
  </si>
  <si>
    <t>Saint Helena</t>
  </si>
  <si>
    <t>Pitcairn</t>
  </si>
  <si>
    <t>Jersey</t>
  </si>
  <si>
    <t>Malta</t>
  </si>
  <si>
    <t>Senegal</t>
  </si>
  <si>
    <t>Georgia</t>
  </si>
  <si>
    <t>Kiribati</t>
  </si>
  <si>
    <t>Greece</t>
  </si>
  <si>
    <t>British Virgin Islands</t>
  </si>
  <si>
    <t>American Samoa</t>
  </si>
  <si>
    <t>Cook Islands</t>
  </si>
  <si>
    <t>Mauritius</t>
  </si>
  <si>
    <t>Kyrgyzstan</t>
  </si>
  <si>
    <t>Fiji</t>
  </si>
  <si>
    <t>Dominica</t>
  </si>
  <si>
    <t>Réunion</t>
  </si>
  <si>
    <t>Libya</t>
  </si>
  <si>
    <t>Liechtenstein</t>
  </si>
  <si>
    <t>Bahrain</t>
  </si>
  <si>
    <t>Niger</t>
  </si>
  <si>
    <t>South Sudan</t>
  </si>
  <si>
    <t>Saint Barthélemy</t>
  </si>
  <si>
    <t>Sri Lanka</t>
  </si>
  <si>
    <t>Ecuador</t>
  </si>
  <si>
    <t>Monaco</t>
  </si>
  <si>
    <t>Somalia</t>
  </si>
  <si>
    <t>Malawi</t>
  </si>
  <si>
    <t>Algeria</t>
  </si>
  <si>
    <t>Syrian Arab Republic</t>
  </si>
  <si>
    <t>Christmas Island</t>
  </si>
  <si>
    <t>El Salvador</t>
  </si>
  <si>
    <t>Singapore</t>
  </si>
  <si>
    <t>Angola</t>
  </si>
  <si>
    <t>Yemen</t>
  </si>
  <si>
    <t>Marshall Islands</t>
  </si>
  <si>
    <t>Guyana</t>
  </si>
  <si>
    <t>Montserrat</t>
  </si>
  <si>
    <t>Montenegro</t>
  </si>
  <si>
    <t>Niue</t>
  </si>
  <si>
    <t>Barbados</t>
  </si>
  <si>
    <t>Andorra</t>
  </si>
  <si>
    <t>Democratic People's Republic of Korea</t>
  </si>
  <si>
    <t>Saint Lucia</t>
  </si>
  <si>
    <t>Uganda</t>
  </si>
  <si>
    <t>Republic of Moldova</t>
  </si>
  <si>
    <t>Norfolk Island</t>
  </si>
  <si>
    <t>Comoros</t>
  </si>
  <si>
    <t>Botswana</t>
  </si>
  <si>
    <t>Suriname</t>
  </si>
  <si>
    <t>South Georgia and the South Sandwich Islands</t>
  </si>
  <si>
    <t>Micronesia (Federated States of)</t>
  </si>
  <si>
    <t>Sierra Leone</t>
  </si>
  <si>
    <t>Bolivia (Plurinational State of)</t>
  </si>
  <si>
    <t>Bahamas</t>
  </si>
  <si>
    <t>Bangladesh</t>
  </si>
  <si>
    <t>Svalbard and Jan Mayen Islands</t>
  </si>
  <si>
    <t>Turks and Caicos Islands</t>
  </si>
  <si>
    <t>Benin</t>
  </si>
  <si>
    <t>Uzbekistan</t>
  </si>
  <si>
    <t>Brazil</t>
  </si>
  <si>
    <t>Malaysia</t>
  </si>
  <si>
    <t>China, Hong Kong Special Administrative Region</t>
  </si>
  <si>
    <t>Anguilla</t>
  </si>
  <si>
    <t>Faroe Islands</t>
  </si>
  <si>
    <t>Haiti</t>
  </si>
  <si>
    <t>Puerto Rico</t>
  </si>
  <si>
    <t>Tuvalu</t>
  </si>
  <si>
    <t>New Zealand</t>
  </si>
  <si>
    <t>French Polynesia</t>
  </si>
  <si>
    <t>Trinidad and Tobago</t>
  </si>
  <si>
    <t>Samoa</t>
  </si>
  <si>
    <t>Gambia</t>
  </si>
  <si>
    <t>Togo</t>
  </si>
  <si>
    <t>Mauritania</t>
  </si>
  <si>
    <t>Taiwan</t>
  </si>
  <si>
    <t>Western Sahara</t>
  </si>
  <si>
    <t>Guadeloupe</t>
  </si>
  <si>
    <t>Nicaragua</t>
  </si>
  <si>
    <t>Seychelles</t>
  </si>
  <si>
    <t>British Indian Ocean Territory</t>
  </si>
  <si>
    <t>Djibouti</t>
  </si>
  <si>
    <t>Lao People's Democratic Republic</t>
  </si>
  <si>
    <t>Costa Rica</t>
  </si>
  <si>
    <t>Lesotho</t>
  </si>
  <si>
    <t>Tonga</t>
  </si>
  <si>
    <t>Japan</t>
  </si>
  <si>
    <t>Panama</t>
  </si>
  <si>
    <t>Saint Kitts and Nevis</t>
  </si>
  <si>
    <t>Bouvet Island</t>
  </si>
  <si>
    <t>Egypt</t>
  </si>
  <si>
    <t>Tokelau</t>
  </si>
  <si>
    <t>Grenada</t>
  </si>
  <si>
    <t>Saint Vincent and the Grenadines</t>
  </si>
  <si>
    <t>Antarctica</t>
  </si>
  <si>
    <t>Cocos (Keeling) Islands</t>
  </si>
  <si>
    <t>Kosovo*</t>
  </si>
  <si>
    <t>China, Macao Special Administrative Region</t>
  </si>
  <si>
    <t>Nauru</t>
  </si>
  <si>
    <t>San Marino</t>
  </si>
  <si>
    <t>Holy See</t>
  </si>
  <si>
    <t>Sint Maarten (Dutch part)</t>
  </si>
  <si>
    <t>Curaçao</t>
  </si>
  <si>
    <t>Cambodia</t>
  </si>
  <si>
    <t>Nigeria</t>
  </si>
  <si>
    <t>Pakistan</t>
  </si>
  <si>
    <t>Qatar</t>
  </si>
  <si>
    <t>Ethiopia</t>
  </si>
  <si>
    <t>Turkey</t>
  </si>
  <si>
    <t>Tajikistan</t>
  </si>
  <si>
    <t>Guam</t>
  </si>
  <si>
    <t>Mayotte</t>
  </si>
  <si>
    <t>Central African Republic</t>
  </si>
  <si>
    <t>Northern Mariana Islands</t>
  </si>
  <si>
    <t>Greenland</t>
  </si>
  <si>
    <t>Slovenia</t>
  </si>
  <si>
    <t>Cayman Islands</t>
  </si>
  <si>
    <t>Saint Pierre and Miquelon</t>
  </si>
  <si>
    <t>Paraguay</t>
  </si>
  <si>
    <t>Zambia</t>
  </si>
  <si>
    <t>Kazakhstan</t>
  </si>
  <si>
    <t>Bermuda</t>
  </si>
  <si>
    <t>Venezuela (Bolivarian Republic of)</t>
  </si>
  <si>
    <t>Jamaica</t>
  </si>
  <si>
    <t>Heard Island and McDonald Islands</t>
  </si>
  <si>
    <t>Solomon Islands</t>
  </si>
  <si>
    <t>Vanuatu</t>
  </si>
  <si>
    <t>Eritrea</t>
  </si>
  <si>
    <t>Turkmenistan</t>
  </si>
  <si>
    <t>Guatemala</t>
  </si>
  <si>
    <t>Lebanon</t>
  </si>
  <si>
    <t>Saudi Arabia</t>
  </si>
  <si>
    <t>Democratic Republic of the Congo</t>
  </si>
  <si>
    <t>The former Yugoslav Republic of Macedonia</t>
  </si>
  <si>
    <t>Wallis and Futuna Islands</t>
  </si>
  <si>
    <t>Ghana</t>
  </si>
  <si>
    <t>Maldives</t>
  </si>
  <si>
    <t>Papua New Guinea</t>
  </si>
  <si>
    <t>Mongolia</t>
  </si>
  <si>
    <t>Azerbaijan</t>
  </si>
  <si>
    <t>Brunei Darussalam</t>
  </si>
  <si>
    <t>Israel</t>
  </si>
  <si>
    <t>Sao Tome and Principe</t>
  </si>
  <si>
    <t>United States Minor Outlying Islands</t>
  </si>
  <si>
    <t>Gibraltar</t>
  </si>
  <si>
    <t>Armenia</t>
  </si>
  <si>
    <t>Oman</t>
  </si>
  <si>
    <t>Indonesia</t>
  </si>
  <si>
    <t>Slovakia</t>
  </si>
  <si>
    <t>United States Virgin Islands</t>
  </si>
  <si>
    <t>Antigua and Barbuda</t>
  </si>
  <si>
    <t>Falkland Islands (Malvinas)</t>
  </si>
  <si>
    <t>Saint Martin (French Part)</t>
  </si>
  <si>
    <t>Iceland</t>
  </si>
  <si>
    <t>Netherlands</t>
  </si>
  <si>
    <t>Guernsey</t>
  </si>
  <si>
    <t>Bulgaria</t>
  </si>
  <si>
    <t>Switzerland</t>
  </si>
  <si>
    <t>Latvia</t>
  </si>
  <si>
    <t>Italy</t>
  </si>
  <si>
    <t>Ireland</t>
  </si>
  <si>
    <t>Côte d'Ivoire</t>
  </si>
  <si>
    <t>Bonaire, Sint Eustatius and Saba</t>
  </si>
  <si>
    <t>New Caledonia</t>
  </si>
  <si>
    <t>Albania</t>
  </si>
  <si>
    <t>Portugal</t>
  </si>
  <si>
    <t>Poland</t>
  </si>
  <si>
    <t>Martinique</t>
  </si>
  <si>
    <t>Hungary</t>
  </si>
  <si>
    <t>French Guiana</t>
  </si>
  <si>
    <t>Bosnia and Herzegovina</t>
  </si>
  <si>
    <t>Finland</t>
  </si>
  <si>
    <t>Kuwait</t>
  </si>
  <si>
    <t>Mali</t>
  </si>
  <si>
    <t>Estonia</t>
  </si>
  <si>
    <t>Australia</t>
  </si>
  <si>
    <t>Austria</t>
  </si>
  <si>
    <t>Equatorial Guinea</t>
  </si>
  <si>
    <t>Cameroon</t>
  </si>
  <si>
    <t>Afghanistan</t>
  </si>
  <si>
    <t>France</t>
  </si>
  <si>
    <t>Burkina Faso</t>
  </si>
  <si>
    <t>Sweden</t>
  </si>
  <si>
    <t>Denmark</t>
  </si>
  <si>
    <t>United Arab Emirates</t>
  </si>
  <si>
    <t>United States of America</t>
  </si>
  <si>
    <t>Peru</t>
  </si>
  <si>
    <t>NBSAP target (%) for 2020</t>
  </si>
  <si>
    <t>Country</t>
  </si>
  <si>
    <t>Project ID</t>
  </si>
  <si>
    <t>Project Status</t>
  </si>
  <si>
    <t>Comments</t>
  </si>
  <si>
    <t xml:space="preserve">Complete formalization of gazetting the 7 priority areas identified under the BIORAP and its boundaries coordinates. </t>
  </si>
  <si>
    <t>Priority Action</t>
  </si>
  <si>
    <t>Implement and track GEF-5/6 PA outcomes (add 100,000ha; ~3% TPA)</t>
  </si>
  <si>
    <t>Establish Savaii upland as a protected area; Obtain legal status for the PA’s without legal status; and Update the status of Protected Area network to include the Matautu district CCA and Taga Gataivai established under the FPAM project and Malololelei reserve.</t>
  </si>
  <si>
    <t>East And South East Asia</t>
  </si>
  <si>
    <t>Latin American and the Caribbean</t>
  </si>
  <si>
    <t>South, Central and West Asia</t>
  </si>
  <si>
    <t>Africa</t>
  </si>
  <si>
    <t>Total:</t>
  </si>
  <si>
    <t>By 2020, 15% degree of wilderness protection</t>
  </si>
  <si>
    <t xml:space="preserve">Designation of the 97 small scale sites, which will increase PA coverage by 0,36 %; Prepare for designation xxx areas </t>
  </si>
  <si>
    <t>Increase of  Terrestrial protected areas to 17%  according to the targets of  NBSAP  through  revision of some protected areas and  design new protected areas</t>
  </si>
  <si>
    <t xml:space="preserve">Planned organization of state natural park "Alai" in the Osh region in the territory of about 36,800 hectares. </t>
  </si>
  <si>
    <t>Establishment of new PAs (Svaneti, Racha, Erusheti, Rioni Delta), according to the feasibility studies; Establish new protected areas on the territories identified as IBAs;</t>
  </si>
  <si>
    <t>FYR Macedonia</t>
  </si>
  <si>
    <t>Finalize revision of existing PAs; and Proclamation of new PAs</t>
  </si>
  <si>
    <t>Registration of protected areas (2016-2020)</t>
  </si>
  <si>
    <t>By 2020, the total area of nature reserves is increased to reach at least 4 % of Lebanon’s area</t>
  </si>
  <si>
    <t xml:space="preserve">Protected Area coverage of terrestrial and inland water will be increased from less than 1% (1170 sq km) to 3% (4430 sq. km) to 5% (7400 sq km) of the country. </t>
  </si>
  <si>
    <t>By 2020, 3 PAs will be created</t>
  </si>
  <si>
    <t>already in WDPA as Community Owned Conservation Area (6250km2)</t>
  </si>
  <si>
    <r>
      <t>Area to be added (km</t>
    </r>
    <r>
      <rPr>
        <b/>
        <vertAlign val="superscript"/>
        <sz val="11"/>
        <color theme="1"/>
        <rFont val="Calibri"/>
        <family val="2"/>
        <scheme val="minor"/>
      </rPr>
      <t>2</t>
    </r>
    <r>
      <rPr>
        <b/>
        <sz val="11"/>
        <color theme="1"/>
        <rFont val="Calibri"/>
        <family val="2"/>
        <scheme val="minor"/>
      </rPr>
      <t xml:space="preserve">) </t>
    </r>
  </si>
  <si>
    <t>Global contribution (%)</t>
  </si>
  <si>
    <r>
      <t xml:space="preserve">Proceed with the creation of new protected areas in the identified priority areas - creating protected areas covering about </t>
    </r>
    <r>
      <rPr>
        <b/>
        <sz val="10"/>
        <color theme="1"/>
        <rFont val="Calibri"/>
        <family val="2"/>
        <scheme val="minor"/>
      </rPr>
      <t>1.5%</t>
    </r>
    <r>
      <rPr>
        <sz val="10"/>
        <color theme="1"/>
        <rFont val="Calibri"/>
        <family val="2"/>
        <scheme val="minor"/>
      </rPr>
      <t xml:space="preserve"> of the territory </t>
    </r>
  </si>
  <si>
    <t>14 future PAs under review</t>
  </si>
  <si>
    <r>
      <rPr>
        <b/>
        <sz val="10"/>
        <color theme="1"/>
        <rFont val="Calibri"/>
        <family val="2"/>
        <scheme val="minor"/>
      </rPr>
      <t>1 million ha</t>
    </r>
    <r>
      <rPr>
        <sz val="10"/>
        <color theme="1"/>
        <rFont val="Calibri"/>
        <family val="2"/>
        <scheme val="minor"/>
      </rPr>
      <t xml:space="preserve"> of PA created in Caatinga and Pantanal biomes, with the support of GEF; </t>
    </r>
    <r>
      <rPr>
        <b/>
        <sz val="10"/>
        <color theme="1"/>
        <rFont val="Calibri"/>
        <family val="2"/>
        <scheme val="minor"/>
      </rPr>
      <t>6 million ha</t>
    </r>
    <r>
      <rPr>
        <sz val="10"/>
        <color theme="1"/>
        <rFont val="Calibri"/>
        <family val="2"/>
        <scheme val="minor"/>
      </rPr>
      <t xml:space="preserve"> of PA creates in  Amazon Rain Forest, with the support of ARPA</t>
    </r>
  </si>
  <si>
    <r>
      <t xml:space="preserve">Creation of 5 new protected land areas in more than </t>
    </r>
    <r>
      <rPr>
        <b/>
        <sz val="10"/>
        <color theme="1"/>
        <rFont val="Calibri"/>
        <family val="2"/>
        <scheme val="minor"/>
      </rPr>
      <t>200 thousand hectares</t>
    </r>
  </si>
  <si>
    <r>
      <t xml:space="preserve">Finalize classification of current projects on a total area of </t>
    </r>
    <r>
      <rPr>
        <b/>
        <sz val="10"/>
        <color theme="1"/>
        <rFont val="Calibri"/>
        <family val="2"/>
        <scheme val="minor"/>
      </rPr>
      <t>10326.19 km2</t>
    </r>
    <r>
      <rPr>
        <sz val="10"/>
        <color theme="1"/>
        <rFont val="Calibri"/>
        <family val="2"/>
        <scheme val="minor"/>
      </rPr>
      <t xml:space="preserve"> for 13 protected areas including an extension of the Douala Edea Wildlife Reserve; and Supporting communities to create community-managed hunting zones (ZICGC) and community hunting areas in all regions with potential: an average of 1000 km2 per year or </t>
    </r>
    <r>
      <rPr>
        <b/>
        <sz val="10"/>
        <color theme="1"/>
        <rFont val="Calibri"/>
        <family val="2"/>
        <scheme val="minor"/>
      </rPr>
      <t>5000 km2</t>
    </r>
    <r>
      <rPr>
        <sz val="10"/>
        <color theme="1"/>
        <rFont val="Calibri"/>
        <family val="2"/>
        <scheme val="minor"/>
      </rPr>
      <t xml:space="preserve"> additional classified for 2020</t>
    </r>
  </si>
  <si>
    <r>
      <t xml:space="preserve">Increase </t>
    </r>
    <r>
      <rPr>
        <b/>
        <sz val="10"/>
        <color theme="1"/>
        <rFont val="Calibri"/>
        <family val="2"/>
        <scheme val="minor"/>
      </rPr>
      <t>by 0.5%</t>
    </r>
    <r>
      <rPr>
        <sz val="10"/>
        <color theme="1"/>
        <rFont val="Calibri"/>
        <family val="2"/>
        <scheme val="minor"/>
      </rPr>
      <t xml:space="preserve"> terrestrial protected areas (2016-2020)</t>
    </r>
  </si>
  <si>
    <r>
      <t>Possibility to increase the number of existing PAs (</t>
    </r>
    <r>
      <rPr>
        <b/>
        <sz val="10"/>
        <color theme="1"/>
        <rFont val="Calibri"/>
        <family val="2"/>
        <scheme val="minor"/>
      </rPr>
      <t>2000 km2</t>
    </r>
    <r>
      <rPr>
        <sz val="10"/>
        <color theme="1"/>
        <rFont val="Calibri"/>
        <family val="2"/>
        <scheme val="minor"/>
      </rPr>
      <t>).</t>
    </r>
  </si>
  <si>
    <r>
      <t xml:space="preserve">Operationalized protected area system on three selected areas that cover a total of 10,098.6km2 will be established - including one Terrestrial PA that covers </t>
    </r>
    <r>
      <rPr>
        <b/>
        <sz val="10"/>
        <color theme="1"/>
        <rFont val="Calibri"/>
        <family val="2"/>
        <scheme val="minor"/>
      </rPr>
      <t>6,492.76km2</t>
    </r>
  </si>
  <si>
    <t>Ensure 10-13% of forest land areas and remaining biomes are protected -  especially as protected areas</t>
  </si>
  <si>
    <t>By 2020, classify 25 new protected areas, covering 2.5 million ha (~19% of terrestrial and inland water)</t>
  </si>
  <si>
    <t>By 2020, addition of 30 new Ramsar sites, leading to the formation of a coherent and comprehensive set of wetlands of national and international importance.</t>
  </si>
  <si>
    <t>6 protected areas will be established adding 6000 km2.</t>
  </si>
  <si>
    <t>Project Approved</t>
  </si>
  <si>
    <t>Concept Approved</t>
  </si>
  <si>
    <t>Project Approved, Project Approved</t>
  </si>
  <si>
    <t xml:space="preserve">Project Approved, Project Approved, </t>
  </si>
  <si>
    <t>Current Status (June 2017)</t>
  </si>
  <si>
    <t>Target (%)</t>
  </si>
  <si>
    <t>Increase (km2) to reach target (sutracting additions from other sources)</t>
  </si>
  <si>
    <t>Page # in NBSAP</t>
  </si>
  <si>
    <t>36/44</t>
  </si>
  <si>
    <t>n/a</t>
  </si>
  <si>
    <t>62-63</t>
  </si>
  <si>
    <t>N/A</t>
  </si>
  <si>
    <t>18-19</t>
  </si>
  <si>
    <t>27/43</t>
  </si>
  <si>
    <t>Gambia (the)</t>
  </si>
  <si>
    <t>69-70</t>
  </si>
  <si>
    <t>11/93</t>
  </si>
  <si>
    <t>15% of Conservation Forests (191,826 hecatares), Forest Reserves (128,865 hectares)</t>
  </si>
  <si>
    <t>NOT ACTION: There are 38 proposed protected areas covering 110,940 sq km, 5.55% of the total area of the Kingdom (this will bring the total to 208,997 sq km, 10.45% )</t>
  </si>
  <si>
    <t>National Commitments</t>
  </si>
  <si>
    <t>30% Amazon; 17% others</t>
  </si>
  <si>
    <t>by 12%</t>
  </si>
  <si>
    <t>completed (increase from 13% to 31% protected 2014-2016)</t>
  </si>
  <si>
    <t>Achieving administrative and legal approval of 70 protected areas of national significance and 63 protected areas of local significance (terrestrial and marine)</t>
  </si>
  <si>
    <t>They will evaluate min between 2 and 5 areas (terrestrial and marine) to incorporate them in the national protected area system</t>
  </si>
  <si>
    <t>Enhance ecosystem representation through the incorporation of protected areas of other subsystems (private, decentralized autonomous governments -GAD's-, community) to the National System of Protected Areas (SNAP).</t>
  </si>
  <si>
    <r>
      <t xml:space="preserve">Legally designate the Nevis Peak National Park and Camps River Watershed Area (NPNPCRWA), and complete the gazetting stage to formalize the process.  </t>
    </r>
    <r>
      <rPr>
        <b/>
        <sz val="10"/>
        <color theme="1"/>
        <rFont val="Calibri"/>
        <family val="2"/>
        <scheme val="minor"/>
      </rPr>
      <t>Included under GEF project 5078</t>
    </r>
  </si>
  <si>
    <t>GEF project</t>
  </si>
  <si>
    <t>Establishment of a system of National Parks</t>
  </si>
  <si>
    <r>
      <t xml:space="preserve">Plan to establish management framework of the designated protected areas and strengthen their functions and to extend the protected areas to </t>
    </r>
    <r>
      <rPr>
        <b/>
        <sz val="10"/>
        <color theme="1"/>
        <rFont val="Calibri"/>
        <family val="2"/>
        <scheme val="minor"/>
      </rPr>
      <t xml:space="preserve">8 percent </t>
    </r>
    <r>
      <rPr>
        <sz val="10"/>
        <color theme="1"/>
        <rFont val="Calibri"/>
        <family val="2"/>
        <scheme val="minor"/>
      </rPr>
      <t>of the territory area toward 2020</t>
    </r>
  </si>
  <si>
    <r>
      <t xml:space="preserve">Add </t>
    </r>
    <r>
      <rPr>
        <b/>
        <sz val="10"/>
        <color theme="1"/>
        <rFont val="Calibri"/>
        <family val="2"/>
        <scheme val="minor"/>
      </rPr>
      <t>20 000ha</t>
    </r>
    <r>
      <rPr>
        <sz val="10"/>
        <color theme="1"/>
        <rFont val="Calibri"/>
        <family val="2"/>
        <scheme val="minor"/>
      </rPr>
      <t xml:space="preserve"> to SIGAP (Guatemala system of PAs)</t>
    </r>
  </si>
  <si>
    <r>
      <t>Add at least the Konashen Community Owned Conservation Area to the National Protected Areas System, increasing land area covered by protected areas by another</t>
    </r>
    <r>
      <rPr>
        <b/>
        <sz val="10"/>
        <color theme="1"/>
        <rFont val="Calibri"/>
        <family val="2"/>
        <scheme val="minor"/>
      </rPr>
      <t xml:space="preserve"> 3%.</t>
    </r>
  </si>
  <si>
    <r>
      <t xml:space="preserve">By 2020, </t>
    </r>
    <r>
      <rPr>
        <b/>
        <sz val="10"/>
        <color theme="1"/>
        <rFont val="Calibri"/>
        <family val="2"/>
        <scheme val="minor"/>
      </rPr>
      <t>15%</t>
    </r>
    <r>
      <rPr>
        <sz val="10"/>
        <color theme="1"/>
        <rFont val="Calibri"/>
        <family val="2"/>
        <scheme val="minor"/>
      </rPr>
      <t xml:space="preserve"> of the territory will be protected</t>
    </r>
  </si>
  <si>
    <r>
      <t xml:space="preserve">Expanding protected areas to </t>
    </r>
    <r>
      <rPr>
        <b/>
        <sz val="10"/>
        <color theme="1"/>
        <rFont val="Calibri"/>
        <family val="2"/>
        <scheme val="minor"/>
      </rPr>
      <t>25%</t>
    </r>
    <r>
      <rPr>
        <sz val="10"/>
        <color theme="1"/>
        <rFont val="Calibri"/>
        <family val="2"/>
        <scheme val="minor"/>
      </rPr>
      <t xml:space="preserve"> by 2020</t>
    </r>
  </si>
  <si>
    <t>6 Proposed PAs covering 7380.28km2 (excluding Tanintharyi NP - already in WDPA and expansion under GEF 6992)</t>
  </si>
  <si>
    <t>Increase the number of protected areas, and identify potential protected areas to be included in conservation programs. Korea is also striving to expand per capita size of national park from 132m2 to 153m2</t>
  </si>
  <si>
    <t>Expand Forest Genetic Resources Reserve to 1500km2 (currently 1,318)</t>
  </si>
  <si>
    <t>Planned 46 PAs will be established, Area of PAs will be increased to 29,400.0 km2 by 2020</t>
  </si>
  <si>
    <t>Expand PA estate to cover 4000km2 of terrestrial ICCA</t>
  </si>
  <si>
    <t>Establish priority and feasible protected areas, legally recognized, adequately funded and effectively  managed entities. Candidate priority areas are Band-i-Amir, Ajar valley, Pamir-i- Buzurg, the entire wakhan corridor region, Dashte Nawer and Shah Foladi.</t>
  </si>
  <si>
    <t>Increase protected areas, develop the quality of the PA s, Management Plan for all the Pas, number of the species with Action Plans</t>
  </si>
  <si>
    <t>Iran</t>
  </si>
  <si>
    <t>Implementation of the project of the establishment of the first network of protected natural areas in Iraq</t>
  </si>
  <si>
    <t>Proposed PAs demarcated - (796.024km2)</t>
  </si>
  <si>
    <t>3 PAS to be declared in 2016     New areas have been recommended for declaration as reserves but are still awaiting formal designation</t>
  </si>
  <si>
    <t>Review of PA system of the Country - make room for improvement (new areas, etc)</t>
  </si>
  <si>
    <t>creation of new PAs including prairies and shrublands, the mountains of the East and the aquatic enviornments of lake Tanganyika</t>
  </si>
  <si>
    <r>
      <t xml:space="preserve">A national network of terrestrial and marine protected areas will be created through a </t>
    </r>
    <r>
      <rPr>
        <b/>
        <sz val="10"/>
        <color theme="1"/>
        <rFont val="Calibri"/>
        <family val="2"/>
        <scheme val="minor"/>
      </rPr>
      <t xml:space="preserve">GEF / UNDP </t>
    </r>
    <r>
      <rPr>
        <sz val="10"/>
        <color theme="1"/>
        <rFont val="Calibri"/>
        <family val="2"/>
        <scheme val="minor"/>
      </rPr>
      <t xml:space="preserve">project, </t>
    </r>
    <r>
      <rPr>
        <b/>
        <sz val="10"/>
        <color theme="1"/>
        <rFont val="Calibri"/>
        <family val="2"/>
        <scheme val="minor"/>
      </rPr>
      <t>covering 22%</t>
    </r>
    <r>
      <rPr>
        <sz val="10"/>
        <color theme="1"/>
        <rFont val="Calibri"/>
        <family val="2"/>
        <scheme val="minor"/>
      </rPr>
      <t xml:space="preserve"> of national land territory </t>
    </r>
  </si>
  <si>
    <r>
      <t xml:space="preserve">Creating new protected areas in strategic locations including areas with species facing  extinction threats (3 PAs in process of being gazetted = </t>
    </r>
    <r>
      <rPr>
        <b/>
        <sz val="10"/>
        <color theme="1"/>
        <rFont val="Calibri"/>
        <family val="2"/>
        <scheme val="minor"/>
      </rPr>
      <t>20,449km2</t>
    </r>
    <r>
      <rPr>
        <sz val="10"/>
        <color theme="1"/>
        <rFont val="Calibri"/>
        <family val="2"/>
        <scheme val="minor"/>
      </rPr>
      <t>)</t>
    </r>
  </si>
  <si>
    <r>
      <t xml:space="preserve">Declare 5 proposed PAs (15654ha) as formal PAs under IUCN management categories and governance types. This would increase Lesotho's PA coverage </t>
    </r>
    <r>
      <rPr>
        <b/>
        <sz val="10"/>
        <color theme="1"/>
        <rFont val="Calibri"/>
        <family val="2"/>
        <scheme val="minor"/>
      </rPr>
      <t>to ~2%.</t>
    </r>
    <r>
      <rPr>
        <sz val="10"/>
        <color theme="1"/>
        <rFont val="Calibri"/>
        <family val="2"/>
        <scheme val="minor"/>
      </rPr>
      <t xml:space="preserve">  - Declare community Managed Resource Areas (MRAs) as formal PAs under IUCN Category VI,D. That would increase PAs coverage (by 2939.43km2) </t>
    </r>
    <r>
      <rPr>
        <b/>
        <sz val="10"/>
        <color theme="1"/>
        <rFont val="Calibri"/>
        <family val="2"/>
        <scheme val="minor"/>
      </rPr>
      <t>to 25%</t>
    </r>
  </si>
  <si>
    <t xml:space="preserve">Create and / or Effectively manage protected areas to preserve fragile ecosystems and sensitive and / or critical areas of high biodiversity </t>
  </si>
  <si>
    <t> Six National Protected Areas that along the Shire River Basin will have been strengthened in management , and one wetland that forms part of the Important Zambezian Flood Grasslands  Eco-region will have been developed into a complete community conserved area in the next five years</t>
  </si>
  <si>
    <t>Diawling National Park (​​16,000 hectares) will increase to to 56,000hactares in the new Strategy for AMP and ZIB 2015-2020</t>
  </si>
  <si>
    <t>To designate new PAs (both state and Private land) as proposed by the PANES using the newly enacted legislation</t>
  </si>
  <si>
    <t>Continue the creation of protected areas on in areas that are suitable</t>
  </si>
  <si>
    <t>Proposed PAs from Questionnaire</t>
  </si>
  <si>
    <t xml:space="preserve">Create new community nature reserves and areas of Aboriginal and community heritage </t>
  </si>
  <si>
    <t>The proposed Loma mountain National Forest Reserve to declared a National Park</t>
  </si>
  <si>
    <t>10 new sites proposed</t>
  </si>
  <si>
    <t>completed (increase of &gt;50,000 km2 from Apr 2016 - June 2017)</t>
  </si>
  <si>
    <t xml:space="preserve">1.5% of the ecological regions can be placed under protection to contribute to achieving target 11  </t>
  </si>
  <si>
    <t>Legal enactments for establishment of planned protected areas.</t>
  </si>
  <si>
    <t>Ensuring the extension of state protected natural areas to up to 8% of the surface area of the country [Establish a wetland area of international importance (Ramsar) “Domneasca” in the Middle Prut area; Establish the tri-party Biosphere Reservation “Danube Delta – Lower Prut” (Romania-Republic of Moldova-Ukraine)]</t>
  </si>
  <si>
    <t>Resolution of the Cabinet of Ministers №255 from 29 August 2015 "On the comprehensive program of measures to mitigate the effects of the Aral Sea disaster, rehabilitation and socio-economic development of the Aral Sea region in the 2015-2018" envisages the creation of 10 new protected areas with a total area of 3.7 mln. ha.</t>
  </si>
  <si>
    <t>GEF 5 to assist with increasing PAs; incl. a 6300 ha terrestrial area</t>
  </si>
  <si>
    <t xml:space="preserve">Protected Areas Act 2010 declarations – 1 to be declared 2015; 9 more in progress towards legal declaration by 2 years: Giving legal recognition to existing PAs </t>
  </si>
  <si>
    <t>48-49</t>
  </si>
  <si>
    <t>by 2030</t>
  </si>
  <si>
    <t>39/56</t>
  </si>
  <si>
    <t>47/131</t>
  </si>
  <si>
    <t>82-83</t>
  </si>
  <si>
    <t>80-81</t>
  </si>
  <si>
    <t xml:space="preserve">by 2025 </t>
  </si>
  <si>
    <t>30% and 17%</t>
  </si>
  <si>
    <t>90/96</t>
  </si>
  <si>
    <t>by 2025</t>
  </si>
  <si>
    <t>91/111</t>
  </si>
  <si>
    <t>86-87</t>
  </si>
  <si>
    <t>29/50-51</t>
  </si>
  <si>
    <t>by 0.5%</t>
  </si>
  <si>
    <t>41/65</t>
  </si>
  <si>
    <t>72-73/80</t>
  </si>
  <si>
    <t>66/72-73</t>
  </si>
  <si>
    <t>649,266 ha</t>
  </si>
  <si>
    <t>61/77-78</t>
  </si>
  <si>
    <t>74-75</t>
  </si>
  <si>
    <t>44/60-61</t>
  </si>
  <si>
    <t>by 2022</t>
  </si>
  <si>
    <t>45</t>
  </si>
  <si>
    <t>40/55</t>
  </si>
  <si>
    <t>121-122</t>
  </si>
  <si>
    <t>71-72</t>
  </si>
  <si>
    <t>by 2024</t>
  </si>
  <si>
    <t>62/66</t>
  </si>
  <si>
    <t>79-80</t>
  </si>
  <si>
    <t>Protected Areas Target</t>
  </si>
  <si>
    <t>58-60</t>
  </si>
  <si>
    <t>26/49</t>
  </si>
  <si>
    <t>93-95/128</t>
  </si>
  <si>
    <t>78-79</t>
  </si>
  <si>
    <t>by 2021</t>
  </si>
  <si>
    <t>10/26</t>
  </si>
  <si>
    <t>17-18/37-40</t>
  </si>
  <si>
    <t>29-31</t>
  </si>
  <si>
    <t>by 2026</t>
  </si>
  <si>
    <t>84-87</t>
  </si>
  <si>
    <t>101-102</t>
  </si>
  <si>
    <t>59-61</t>
  </si>
  <si>
    <t>173-179</t>
  </si>
  <si>
    <t>91-92</t>
  </si>
  <si>
    <t>2550ha</t>
  </si>
  <si>
    <t>13/35-37</t>
  </si>
  <si>
    <t>55/65</t>
  </si>
  <si>
    <t>20-23</t>
  </si>
  <si>
    <t>50/60/82</t>
  </si>
  <si>
    <t>45-47</t>
  </si>
  <si>
    <t>52-53</t>
  </si>
  <si>
    <t>Lao PDR</t>
  </si>
  <si>
    <t>Project
Approved</t>
  </si>
  <si>
    <t>Concept
Approved</t>
  </si>
  <si>
    <t>Project Approved, Concept Approved</t>
  </si>
  <si>
    <t>All Project Approved</t>
  </si>
  <si>
    <t>Concept Approved (9403),  All others Project Approved</t>
  </si>
  <si>
    <t>Concept Approved, Project Approved,</t>
  </si>
  <si>
    <t>Saint Vincent and Grenadines</t>
  </si>
  <si>
    <t>only core zone of BR included</t>
  </si>
  <si>
    <t>Laureles-Canias, Mafalda, Bosques del Río Negro to be gazetted</t>
  </si>
  <si>
    <t>Concept Approved, Project  Approved</t>
  </si>
  <si>
    <t>Concept Approved, Project Approved, Project Approved, Project Approved</t>
  </si>
  <si>
    <t>Included as priority action</t>
  </si>
  <si>
    <t>10,000 under GEF-6 project</t>
  </si>
  <si>
    <t>Project 4859 (1 mil ha) included as priority action</t>
  </si>
  <si>
    <t>as per WDPA already surpassed 25% target</t>
  </si>
  <si>
    <r>
      <t xml:space="preserve">OPPORTUNITY: Utilization of GEF 6 allocation to close the gap and increase conservation by 6.8% </t>
    </r>
    <r>
      <rPr>
        <b/>
        <sz val="9"/>
        <rFont val="Calibri"/>
        <family val="2"/>
        <scheme val="minor"/>
      </rPr>
      <t>(to reach national target of 25%)</t>
    </r>
  </si>
  <si>
    <t>Expanding number of FNR (30,000 km2) will improve hydrological flow and increase the carbon stock</t>
  </si>
  <si>
    <t>Other Priority Actions including an increase in PA cover - extent was not specified</t>
  </si>
  <si>
    <t>Comment</t>
  </si>
  <si>
    <t xml:space="preserve">1.   To gazette and formalise 6 new informal PAs and formally demarcate as well as manage them for biodiversity conservation. These will increase the formal gazetted PA network form 4.23% to 12.4%. 
</t>
  </si>
  <si>
    <t>**Names of territories included in this document do not imply endorsement or acceptance by the United Nations.</t>
  </si>
  <si>
    <t>At least 10% of each ecological region effectively conserved, and areas of particular importance to biodiversity protected</t>
  </si>
  <si>
    <t>17 % of terrestrial areas to be designated as Protected Areas</t>
  </si>
  <si>
    <t xml:space="preserve"> 17% of the terrestrial and inland water areas of Antigua and Barbuda have been protected </t>
  </si>
  <si>
    <t>Reach 13% of the minimum protected area of the national territory</t>
  </si>
  <si>
    <t>Expansion of protected areas - total extent of protected areas in the republic will be enlarged by 12% in terrestrial areas</t>
  </si>
  <si>
    <t>At least 28% of Zimbabwe’s terrestrial and inland water under protection, is maintained and conserved,</t>
  </si>
  <si>
    <t>To improve the quality and increase the area of protected ecosystems, ensuring that the area of terrestrial protected areas accounts for 9% of the total territorial area</t>
  </si>
  <si>
    <t xml:space="preserve">At least 15% of the continental surface is conserved through the National System of Protected Areas (SNAP) </t>
  </si>
  <si>
    <t>By 2021, 12% of terrestrial and inland water is conserved</t>
  </si>
  <si>
    <t>Expanding the area of nature and reserve fund up to 15 per cent of the total territory of the country in 2020;</t>
  </si>
  <si>
    <t>At least 17% of  terrestrial and inland water ecosystems in Uganda are conserved</t>
  </si>
  <si>
    <t xml:space="preserve">Establish effective and equitable management and conservation regimes for Saint Lucia’s PA’s and integrate designated PAs into area-based (landscapes and seascapes)  - Outcome:  Conservation of at least 15% of terrestrial and inland water </t>
  </si>
  <si>
    <t>as per WDPA already &gt;18% currently protected</t>
  </si>
  <si>
    <t>Actions Identified in the Workshops (2015 or 2016) which have been completed and are accounted for in the WDPA (as of June 2017)</t>
  </si>
  <si>
    <r>
      <t xml:space="preserve">Approved </t>
    </r>
    <r>
      <rPr>
        <sz val="11"/>
        <color indexed="8"/>
        <rFont val="Calibri"/>
        <family val="2"/>
      </rPr>
      <t xml:space="preserve">GEF-5 and GEF-6 projects </t>
    </r>
  </si>
  <si>
    <t>Protected area targets in post-COP10 NBSAPs</t>
  </si>
  <si>
    <t>Estimated total in 2020: current + commitments</t>
  </si>
  <si>
    <t>Source of national commitment</t>
  </si>
  <si>
    <t>TOTAL additions:</t>
  </si>
  <si>
    <t>Workshop reports for East And South-East Asia, Latin American and the Caribbean, South, Central and West Asia, and Africa are available online (priority actions and opportunities for improving the status or Aichi Biodiversity Target 11 are provided in the annexes of the regional workshop reports).</t>
  </si>
  <si>
    <r>
      <t xml:space="preserve">Projects from the fifth and sixth replenishment of the </t>
    </r>
    <r>
      <rPr>
        <b/>
        <sz val="11"/>
        <color theme="1"/>
        <rFont val="Calibri"/>
        <family val="2"/>
        <scheme val="minor"/>
      </rPr>
      <t>Global Environment Facility (GEF-5 and GEF-6)</t>
    </r>
    <r>
      <rPr>
        <sz val="11"/>
        <color theme="1"/>
        <rFont val="Calibri"/>
        <family val="2"/>
        <scheme val="minor"/>
      </rPr>
      <t xml:space="preserve"> containing some increase in terrestrial protected area coverage; only those projects with a status of ‘project approved’ or ‘concept approved’ were considered.  GEF projects which are included in Parties' national priority actions are not included.  All projects can be found online at: https://www.thegef.org/projects, while individual projects can be accessed following the hyperlink on the GEF projects tab.</t>
    </r>
  </si>
  <si>
    <r>
      <t xml:space="preserve">Protected area targets from post-COP10 </t>
    </r>
    <r>
      <rPr>
        <b/>
        <sz val="11"/>
        <color theme="1"/>
        <rFont val="Calibri"/>
        <family val="2"/>
        <scheme val="minor"/>
      </rPr>
      <t>National Biodiversity Strategies and Action Plans (NBSAPs)</t>
    </r>
    <r>
      <rPr>
        <sz val="11"/>
        <color theme="1"/>
        <rFont val="Calibri"/>
        <family val="2"/>
        <scheme val="minor"/>
      </rPr>
      <t xml:space="preserve"> are included, as is the additional area that will need to be added to meet these targets, removing protected areas being added through either national priority actions or GEF-5 and GEF-6 projects.  Targets submitted by Parties with a deadline later than 2020, or those that did not differentiate terrestrial and marine targets are not included.  All NBSAPs can be found online at: https://www.cbd.int/nbsap/, while individual NBSAPs can be accessed following the hyperlink on the NBSAPs tab.</t>
    </r>
  </si>
  <si>
    <t>*Current status of protected area coverage is taken from UNEP-WCMC (2017) Global statistics from the World Database on Protected Areas (WDPA), June 2017. Cambridge, UK: UNEP- WCMC.</t>
  </si>
  <si>
    <t>National priority actions</t>
  </si>
  <si>
    <r>
      <t>Area being added (km</t>
    </r>
    <r>
      <rPr>
        <b/>
        <vertAlign val="superscript"/>
        <sz val="11"/>
        <color rgb="FF000000"/>
        <rFont val="Calibri"/>
        <family val="2"/>
      </rPr>
      <t>2</t>
    </r>
    <r>
      <rPr>
        <b/>
        <sz val="11"/>
        <color rgb="FF000000"/>
        <rFont val="Calibri"/>
        <family val="2"/>
      </rPr>
      <t>)</t>
    </r>
  </si>
  <si>
    <t>Increase of 1006 km2 between workshop and June 2017 WDPA release</t>
  </si>
  <si>
    <r>
      <t>National priority actions</t>
    </r>
    <r>
      <rPr>
        <sz val="11"/>
        <color indexed="8"/>
        <rFont val="Calibri"/>
        <family val="2"/>
      </rPr>
      <t xml:space="preserve"> were provided by Parties to the Convention through a series of regional capacity-building workshops carried out in 2015 and 2016; these workshops covered all developing country regions.   Those actions which have been completed and are accounted for in the June 2017 release of the WDPA are not included.  Priority actions and opportunities for improving the status or Aichi Biodiversity Target 11 are provided in the annexes of the regional workshop reports.  Workshop reports for East and South East Asia, Latin American and the Caribbean, South, Central and West Asia, and Africa are available online.</t>
    </r>
  </si>
  <si>
    <r>
      <t>Area to be added (km</t>
    </r>
    <r>
      <rPr>
        <b/>
        <vertAlign val="superscript"/>
        <sz val="11"/>
        <color theme="1"/>
        <rFont val="Calibri"/>
        <family val="2"/>
        <scheme val="minor"/>
      </rPr>
      <t>2</t>
    </r>
    <r>
      <rPr>
        <b/>
        <sz val="11"/>
        <color theme="1"/>
        <rFont val="Calibri"/>
        <family val="2"/>
        <scheme val="minor"/>
      </rPr>
      <t>)</t>
    </r>
  </si>
  <si>
    <t>The milestone target on the protection of land
areas, freshwater areas and marine areas is that at
least 20 per cent</t>
  </si>
  <si>
    <t>By 2022, at least 20 per cent of Swaziland’s land areas … are conserved</t>
  </si>
  <si>
    <t>By 2020, at least 17 per cent of terrestrial and inland water … are conserved</t>
  </si>
  <si>
    <t>By 2019, 13.2 % in the conservation estate</t>
  </si>
  <si>
    <t>By 2026, at least 17 per cent of terrestrial and inland water are conserved</t>
  </si>
  <si>
    <t>By 2020, at least 10 percent of the terrestrial and inland water …  are protected</t>
  </si>
  <si>
    <t>To protect through a network of viable, ecologically representative and effectively managed Protected Areas at least 50% of terrestrial areas</t>
  </si>
  <si>
    <t>By 2020, at least 10.3 per cent of national territory holding particular biodiversity and ecosystem services is protected</t>
  </si>
  <si>
    <t>Ensuring the extension of state protected natural areas to up to 8% of the surface area of the country</t>
  </si>
  <si>
    <t>Designating 17% of terrestrial and inland water areas as protected areas</t>
  </si>
  <si>
    <t>In 2021, the sustainable and effective management of biodiversity is consolidated in at least 17% of the terrestrial area under different types of conservation and in situ management.</t>
  </si>
  <si>
    <t>Strengthen and update the SINASIP with an ecosystemic vision, in order to effectively maintain at least 17% of the national territory</t>
  </si>
  <si>
    <t>Establish a single and continuous terrestrial conservation area covering 2,550 ha</t>
  </si>
  <si>
    <t>To increase the percentage of Nauru’s protected and conserved areas from the existing 2% of total land, including coastal areas, to 30% by 2025.</t>
  </si>
  <si>
    <t>By 2020, 8% of Myanmar's land area Is conserved within PAs, including ICCAs</t>
  </si>
  <si>
    <t>Accelerate the extension of protected areas …  in order to have an ecologically representative national system of protected areas to open 17% of terrestrial ecosystems</t>
  </si>
  <si>
    <t>Increase the area of protected areas to at least 17% of the state territory</t>
  </si>
  <si>
    <t>By 2025, the PA network is expanded with inclusion of at least 30% of representative ecosystems</t>
  </si>
  <si>
    <t>By 2025, at least 16 per cent of terrestrial and inland water … area conserved</t>
  </si>
  <si>
    <t>Malta's 13% land area covered by terrestrial Natura 2000 sites is maintained</t>
  </si>
  <si>
    <t>By 2018, at least 15% of the total area of the country …  are conserved</t>
  </si>
  <si>
    <t>By 2025, at least 20% of terrestrial areas and inland waters … are conserved</t>
  </si>
  <si>
    <t>In 2025, 10% of terrestrial ecosystems ... are conserved adequately</t>
  </si>
  <si>
    <t>By 2020, at least 4% of existing terrestrial protected areas (national parks, nature reserves, conservation areas set aside in community forests, etc.) are conserved</t>
  </si>
  <si>
    <t>Improve the system of SPNAs and environmental networks (Key actions = increase the area up to 10%)</t>
  </si>
  <si>
    <t>By 2018, the national PA program reviewed and effectively implemented: terrestrial protected areas cover 2%</t>
  </si>
  <si>
    <t>Appropriately conserve and manage at least 17% of inland areas and inland water areas</t>
  </si>
  <si>
    <t>By 2030, at least 20% of terrestrial and inland water ecosystems, are protected.</t>
  </si>
  <si>
    <t>17% of terrestrial area for in-situ conservation in legal protection by 2020</t>
  </si>
  <si>
    <t>Create new protected areas ... to reach at least 17% of land areas</t>
  </si>
  <si>
    <t>Ensuring that at least 17 per cent of terrestrial and Inland water … are conserved</t>
  </si>
  <si>
    <t>By 2020, at least 12% of the country’s terrestrial and inland water areas are covered by protected areas</t>
  </si>
  <si>
    <t>By 2020, at least 5% of terrestrial and inland water …  are conserved through systems of protected areas</t>
  </si>
  <si>
    <t>Finland’s network of protected areas and the measures applied to conserve biodiversity in the use of other areas together cover at least 17 per cent of the terrestrial environments and inland waters</t>
  </si>
  <si>
    <t>By 2020, area coverage of ecologically representative and effectively managed PAs is increased from 14% to 20%</t>
  </si>
  <si>
    <t>By 2020, at least 10% of the national territory (649,255 ha Delineated for terrestrial PAs)</t>
  </si>
  <si>
    <t>By 2030, PAs network secured and expanded to cover 17% of total terrestrial and inland water</t>
  </si>
  <si>
    <t xml:space="preserve">By 2020, at least 20% of terrestrial, inland water ... are conserved </t>
  </si>
  <si>
    <t>By 2020, at least 17% of the national territory representing terrestrial and inland waters is conserved</t>
  </si>
  <si>
    <t>By 2010, the size of protected areas is increased to 8% of the territory</t>
  </si>
  <si>
    <t xml:space="preserve">Conservation of 20% of land areas </t>
  </si>
  <si>
    <t>Short term goal: By 2020, the system of state protected areas will be expanded by 0.5%</t>
  </si>
  <si>
    <t>List and protect sensitive terrestrial and special interest areas (Indicator =  20% of sensitive terrestrial zone and areas of special interest protected)</t>
  </si>
  <si>
    <t>By 2030, at least 17% of land and inland waters … are conserved</t>
  </si>
  <si>
    <t>China will … maintain the total area of territorial nature reserves at 15%</t>
  </si>
  <si>
    <t>By 2025, at least 20% of terrestrial areas … will be conserved</t>
  </si>
  <si>
    <t>By 2015, at least 10% of terrestrial and inland waters … are conserved</t>
  </si>
  <si>
    <t xml:space="preserve">By 2020, at least 30% of the Amazon, 17% of each of the other terrestrial biomes … are conserved </t>
  </si>
  <si>
    <r>
      <t xml:space="preserve">By 2025, at least 25 percent </t>
    </r>
    <r>
      <rPr>
        <sz val="10"/>
        <rFont val="Calibri"/>
        <family val="2"/>
      </rPr>
      <t xml:space="preserve">of all Botswana’s ecoregions … are effectively conserved </t>
    </r>
  </si>
  <si>
    <t>Establish a coherent system for the conservation of continental ecosystems (Outcome = By 2020, a national network of protected areas covering at-least 10% of terrestrial areas is set up)</t>
  </si>
  <si>
    <t>At least 17 per cent of terrestrial and inland water areas … are conserved</t>
  </si>
  <si>
    <t>To ensure the protection and sustainable use of natural and near-natural ecological systems…  (on the territory with the area of at least 22% of the Republic's territory)</t>
  </si>
  <si>
    <t>To protect, conserve and restore ecosystems … aiming at the conservation of at least 20% of terrestrial areas</t>
  </si>
  <si>
    <t>NBSAPs from 8 Parties did not differentiate between terrestrial and marine areas in their targets</t>
  </si>
  <si>
    <t>By 2020 the total area of terrestrial and aquatic territories with regulated resource use policies and which play a key role in the provision of ecosystem services is increased to the point where it composes 17% of all terrestrial territories</t>
  </si>
  <si>
    <r>
      <t>NBSAP - area (km</t>
    </r>
    <r>
      <rPr>
        <b/>
        <vertAlign val="superscript"/>
        <sz val="11"/>
        <color theme="1"/>
        <rFont val="Calibri"/>
        <family val="2"/>
        <scheme val="minor"/>
      </rPr>
      <t>2</t>
    </r>
    <r>
      <rPr>
        <b/>
        <sz val="11"/>
        <color theme="1"/>
        <rFont val="Calibri"/>
        <family val="2"/>
        <scheme val="minor"/>
      </rPr>
      <t>) needed to reach target by 2020</t>
    </r>
  </si>
  <si>
    <t>Net contribution from NBSAP target (removing other commitments)</t>
  </si>
  <si>
    <r>
      <t>Priority Actions (km</t>
    </r>
    <r>
      <rPr>
        <b/>
        <vertAlign val="superscript"/>
        <sz val="11"/>
        <color theme="1"/>
        <rFont val="Calibri"/>
        <family val="2"/>
        <scheme val="minor"/>
      </rPr>
      <t>2</t>
    </r>
    <r>
      <rPr>
        <b/>
        <sz val="11"/>
        <color theme="1"/>
        <rFont val="Calibri"/>
        <family val="2"/>
        <scheme val="minor"/>
      </rPr>
      <t>)</t>
    </r>
  </si>
  <si>
    <r>
      <t>Approved GEF-5 and GEF-6 projects (km</t>
    </r>
    <r>
      <rPr>
        <b/>
        <vertAlign val="superscript"/>
        <sz val="11"/>
        <color theme="1"/>
        <rFont val="Calibri"/>
        <family val="2"/>
        <scheme val="minor"/>
      </rPr>
      <t>2</t>
    </r>
    <r>
      <rPr>
        <b/>
        <sz val="11"/>
        <color theme="1"/>
        <rFont val="Calibri"/>
        <family val="2"/>
        <scheme val="minor"/>
      </rPr>
      <t>)</t>
    </r>
  </si>
  <si>
    <r>
      <t>Net National Commitments (km</t>
    </r>
    <r>
      <rPr>
        <b/>
        <vertAlign val="superscript"/>
        <sz val="11"/>
        <color theme="1"/>
        <rFont val="Calibri"/>
        <family val="2"/>
        <scheme val="minor"/>
      </rPr>
      <t>2</t>
    </r>
    <r>
      <rPr>
        <b/>
        <sz val="11"/>
        <color theme="1"/>
        <rFont val="Calibri"/>
        <family val="2"/>
        <scheme val="minor"/>
      </rPr>
      <t>)</t>
    </r>
  </si>
  <si>
    <r>
      <t xml:space="preserve">2,500,000 ha of new protected areas (both terrestrial and marine) to get a total of 15,73% terrestrial (increase of </t>
    </r>
    <r>
      <rPr>
        <b/>
        <sz val="10"/>
        <rFont val="Calibri"/>
        <family val="2"/>
        <scheme val="minor"/>
      </rPr>
      <t>23,129.6 km2</t>
    </r>
    <r>
      <rPr>
        <sz val="10"/>
        <rFont val="Calibri"/>
        <family val="2"/>
        <scheme val="minor"/>
      </rPr>
      <t>,  from reported 2014 protection level)</t>
    </r>
  </si>
  <si>
    <t>Increase of 2535 km2 between workshop and June 2017 WDPA release</t>
  </si>
  <si>
    <t>Increase of 51,226 km2 between workshop and June 2017 WDPA release</t>
  </si>
  <si>
    <r>
      <t xml:space="preserve">To successfully create seven new projected terrestrial PA (for a total addition of </t>
    </r>
    <r>
      <rPr>
        <b/>
        <sz val="10"/>
        <color theme="1"/>
        <rFont val="Calibri"/>
        <family val="2"/>
        <scheme val="minor"/>
      </rPr>
      <t xml:space="preserve">4,831,803 </t>
    </r>
    <r>
      <rPr>
        <sz val="10"/>
        <color theme="1"/>
        <rFont val="Calibri"/>
        <family val="2"/>
        <scheme val="minor"/>
      </rPr>
      <t xml:space="preserve">hectares) in order to increase in 2.46% for a total of 15.61% of the country.   In order to add the 1.4 % required by the end of 2016, it is necessary to classify and verify the conservation status of Mexico’s Wildlife Management Units (UMA) in order to include those with optimal condition and select them for the Aichi Goal 11 counting. </t>
    </r>
  </si>
  <si>
    <t>***It is requested that any additional information, is brought to the attention of the authors (corresponding senior author contact: sarat.gidda@cbd.int).  While the authors have carefully reviewed the data, any errors that may be identified should also be brought to their attention.</t>
  </si>
  <si>
    <t>At least 40% of terrestrial and inland water areas are conserved and/or managed efficiently through SIGAP and other forms of management focused on conservation and sustainable use of biodiversity</t>
  </si>
  <si>
    <t>Additionally, 18 NBSAPs have a specific protected area target with a deadline later than 2020.</t>
  </si>
  <si>
    <r>
      <t xml:space="preserve">By 2030, these 18 Parties reaching their targets will add </t>
    </r>
    <r>
      <rPr>
        <b/>
        <sz val="11"/>
        <color theme="1"/>
        <rFont val="Calibri"/>
        <family val="2"/>
        <scheme val="minor"/>
      </rPr>
      <t>740,590 sq km</t>
    </r>
  </si>
  <si>
    <t>The remaining Parties had NBSAPs provided no clear quantitative target for protected areas or contained only qualitative measures.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</si>
</sst>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0.0%"/>
    <numFmt numFmtId="166" formatCode="#,##0.0"/>
    <numFmt numFmtId="167" formatCode="0.0"/>
  </numFmts>
  <fonts count="41"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name val="Calibri"/>
      <family val="2"/>
      <scheme val="minor"/>
    </font>
    <font>
      <sz val="10"/>
      <name val="Arial"/>
      <family val="2"/>
    </font>
    <font>
      <sz val="11"/>
      <color rgb="FF333333"/>
      <name val="Calibri"/>
      <family val="2"/>
      <scheme val="minor"/>
    </font>
    <font>
      <b/>
      <sz val="11"/>
      <color rgb="FF000000"/>
      <name val="Calibri"/>
      <family val="2"/>
    </font>
    <font>
      <sz val="9"/>
      <name val="Calibri"/>
      <family val="2"/>
      <scheme val="minor"/>
    </font>
    <font>
      <b/>
      <i/>
      <sz val="11"/>
      <color theme="1"/>
      <name val="Calibri"/>
      <family val="2"/>
      <scheme val="minor"/>
    </font>
    <font>
      <sz val="10"/>
      <color theme="1"/>
      <name val="Calibri"/>
      <family val="2"/>
      <scheme val="minor"/>
    </font>
    <font>
      <b/>
      <sz val="11"/>
      <name val="Calibri"/>
      <family val="2"/>
      <scheme val="minor"/>
    </font>
    <font>
      <u/>
      <sz val="11"/>
      <color theme="10"/>
      <name val="Calibri"/>
      <family val="2"/>
      <scheme val="minor"/>
    </font>
    <font>
      <u/>
      <sz val="10"/>
      <color theme="10"/>
      <name val="Calibri"/>
      <family val="2"/>
      <scheme val="minor"/>
    </font>
    <font>
      <b/>
      <vertAlign val="superscript"/>
      <sz val="11"/>
      <color theme="1"/>
      <name val="Calibri"/>
      <family val="2"/>
      <scheme val="minor"/>
    </font>
    <font>
      <sz val="11"/>
      <color indexed="8"/>
      <name val="Calibri"/>
      <family val="2"/>
    </font>
    <font>
      <b/>
      <sz val="10"/>
      <color theme="1"/>
      <name val="Calibri"/>
      <family val="2"/>
      <scheme val="minor"/>
    </font>
    <font>
      <sz val="11"/>
      <color rgb="FF000000"/>
      <name val="Calibri"/>
      <family val="2"/>
      <scheme val="minor"/>
    </font>
    <font>
      <b/>
      <i/>
      <sz val="14"/>
      <color theme="1"/>
      <name val="Calibri"/>
      <family val="2"/>
      <scheme val="minor"/>
    </font>
    <font>
      <b/>
      <sz val="11"/>
      <color indexed="8"/>
      <name val="Calibri"/>
      <family val="2"/>
    </font>
    <font>
      <sz val="10"/>
      <name val="Calibri"/>
      <family val="2"/>
      <scheme val="minor"/>
    </font>
    <font>
      <b/>
      <sz val="10"/>
      <name val="Calibri"/>
      <family val="2"/>
      <scheme val="minor"/>
    </font>
    <font>
      <b/>
      <sz val="9"/>
      <name val="Calibri"/>
      <family val="2"/>
      <scheme val="minor"/>
    </font>
    <font>
      <sz val="10.5"/>
      <color theme="1"/>
      <name val="Times New Roman"/>
      <family val="1"/>
    </font>
    <font>
      <b/>
      <sz val="10"/>
      <color rgb="FF000000"/>
      <name val="Calibri"/>
      <family val="2"/>
    </font>
    <font>
      <b/>
      <vertAlign val="superscript"/>
      <sz val="11"/>
      <color rgb="FF000000"/>
      <name val="Calibri"/>
      <family val="2"/>
    </font>
    <font>
      <sz val="1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4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Alignment="0" applyProtection="0"/>
  </cellStyleXfs>
  <cellXfs count="213">
    <xf numFmtId="0" fontId="0" fillId="0" borderId="0" xfId="0"/>
    <xf numFmtId="0" fontId="0" fillId="0" borderId="0" xfId="0" applyFont="1" applyAlignment="1">
      <alignment wrapText="1"/>
    </xf>
    <xf numFmtId="0" fontId="15" fillId="0" borderId="11" xfId="0" applyFont="1" applyBorder="1" applyAlignment="1">
      <alignment wrapText="1"/>
    </xf>
    <xf numFmtId="0" fontId="15" fillId="0" borderId="10" xfId="0" applyFont="1" applyBorder="1" applyAlignment="1">
      <alignment wrapText="1"/>
    </xf>
    <xf numFmtId="0" fontId="15" fillId="0" borderId="0" xfId="0" applyFont="1" applyAlignment="1">
      <alignment wrapText="1"/>
    </xf>
    <xf numFmtId="3" fontId="0" fillId="0" borderId="0" xfId="0" applyNumberFormat="1" applyFont="1" applyAlignment="1">
      <alignment wrapText="1"/>
    </xf>
    <xf numFmtId="3" fontId="0" fillId="0" borderId="0" xfId="0" applyNumberFormat="1" applyFont="1" applyFill="1" applyAlignment="1">
      <alignment wrapText="1"/>
    </xf>
    <xf numFmtId="165" fontId="0" fillId="0" borderId="0" xfId="0" applyNumberFormat="1" applyFont="1" applyFill="1" applyAlignment="1">
      <alignment wrapText="1"/>
    </xf>
    <xf numFmtId="3" fontId="0" fillId="0" borderId="14" xfId="0" applyNumberFormat="1" applyBorder="1" applyAlignment="1">
      <alignment wrapText="1"/>
    </xf>
    <xf numFmtId="3" fontId="0" fillId="0" borderId="14" xfId="0" applyNumberFormat="1" applyFill="1" applyBorder="1" applyAlignment="1">
      <alignment wrapText="1"/>
    </xf>
    <xf numFmtId="3" fontId="0" fillId="0" borderId="10" xfId="0" applyNumberFormat="1" applyBorder="1" applyAlignment="1">
      <alignment wrapText="1"/>
    </xf>
    <xf numFmtId="3" fontId="0" fillId="0" borderId="14" xfId="0" applyNumberFormat="1" applyBorder="1" applyAlignment="1"/>
    <xf numFmtId="3" fontId="0" fillId="0" borderId="16" xfId="0" applyNumberFormat="1" applyBorder="1" applyAlignment="1">
      <alignment wrapText="1"/>
    </xf>
    <xf numFmtId="0" fontId="15" fillId="0" borderId="12" xfId="0" applyFont="1" applyBorder="1" applyAlignment="1">
      <alignment wrapText="1"/>
    </xf>
    <xf numFmtId="0" fontId="15" fillId="0" borderId="10" xfId="0" applyFont="1" applyFill="1" applyBorder="1" applyAlignment="1">
      <alignment horizontal="center" wrapText="1"/>
    </xf>
    <xf numFmtId="0" fontId="20" fillId="0" borderId="0" xfId="0" applyFont="1" applyFill="1" applyBorder="1" applyAlignment="1">
      <alignment vertical="top" wrapText="1"/>
    </xf>
    <xf numFmtId="0" fontId="20" fillId="0" borderId="0" xfId="0" applyFont="1" applyFill="1" applyBorder="1" applyAlignment="1">
      <alignment vertical="top"/>
    </xf>
    <xf numFmtId="3" fontId="0" fillId="0" borderId="0" xfId="0" applyNumberFormat="1" applyBorder="1" applyAlignment="1">
      <alignment wrapText="1"/>
    </xf>
    <xf numFmtId="3" fontId="0" fillId="0" borderId="14" xfId="0" applyNumberFormat="1" applyFill="1" applyBorder="1" applyAlignment="1"/>
    <xf numFmtId="0" fontId="21" fillId="0" borderId="10" xfId="0" applyFont="1" applyFill="1" applyBorder="1" applyAlignment="1">
      <alignment horizontal="left" wrapText="1"/>
    </xf>
    <xf numFmtId="0" fontId="0" fillId="0" borderId="0" xfId="0" applyAlignment="1">
      <alignment wrapText="1"/>
    </xf>
    <xf numFmtId="0" fontId="23" fillId="0" borderId="19" xfId="0" applyFont="1" applyBorder="1" applyAlignment="1">
      <alignment wrapText="1"/>
    </xf>
    <xf numFmtId="0" fontId="15" fillId="0" borderId="10" xfId="0" applyFont="1" applyFill="1" applyBorder="1" applyAlignment="1">
      <alignment wrapText="1"/>
    </xf>
    <xf numFmtId="0" fontId="24" fillId="0" borderId="0" xfId="0" applyFont="1" applyAlignment="1">
      <alignment wrapText="1"/>
    </xf>
    <xf numFmtId="0" fontId="22" fillId="0" borderId="0" xfId="0" applyFont="1" applyFill="1" applyBorder="1" applyAlignment="1">
      <alignment wrapText="1"/>
    </xf>
    <xf numFmtId="0" fontId="15" fillId="0" borderId="20" xfId="0" applyFont="1" applyFill="1" applyBorder="1" applyAlignment="1">
      <alignment wrapText="1"/>
    </xf>
    <xf numFmtId="0" fontId="18" fillId="0" borderId="18" xfId="0" applyFont="1" applyBorder="1" applyAlignment="1">
      <alignment wrapText="1"/>
    </xf>
    <xf numFmtId="0" fontId="25" fillId="0" borderId="10" xfId="0" applyFont="1" applyFill="1" applyBorder="1" applyAlignment="1">
      <alignment wrapText="1"/>
    </xf>
    <xf numFmtId="0" fontId="18" fillId="0" borderId="0" xfId="0" applyFont="1" applyAlignment="1">
      <alignment wrapText="1"/>
    </xf>
    <xf numFmtId="0" fontId="18" fillId="0" borderId="0" xfId="0" applyFont="1" applyFill="1" applyBorder="1" applyAlignment="1">
      <alignment wrapText="1"/>
    </xf>
    <xf numFmtId="3" fontId="0" fillId="0" borderId="0" xfId="0" applyNumberFormat="1"/>
    <xf numFmtId="0" fontId="27" fillId="0" borderId="22" xfId="46" applyFont="1" applyBorder="1"/>
    <xf numFmtId="0" fontId="24" fillId="0" borderId="23" xfId="0" applyFont="1" applyBorder="1"/>
    <xf numFmtId="0" fontId="27" fillId="0" borderId="0" xfId="46" applyFont="1" applyBorder="1"/>
    <xf numFmtId="0" fontId="24" fillId="0" borderId="25" xfId="0" applyFont="1" applyBorder="1"/>
    <xf numFmtId="0" fontId="0" fillId="0" borderId="26" xfId="0" applyBorder="1" applyAlignment="1">
      <alignment wrapText="1"/>
    </xf>
    <xf numFmtId="0" fontId="0" fillId="0" borderId="27" xfId="0" applyBorder="1" applyAlignment="1">
      <alignment wrapText="1"/>
    </xf>
    <xf numFmtId="0" fontId="27" fillId="0" borderId="27" xfId="46" applyFont="1" applyBorder="1"/>
    <xf numFmtId="0" fontId="24" fillId="0" borderId="28" xfId="0" applyFont="1" applyBorder="1"/>
    <xf numFmtId="0" fontId="15" fillId="0" borderId="0" xfId="0" applyFont="1" applyAlignment="1">
      <alignment horizontal="right"/>
    </xf>
    <xf numFmtId="3" fontId="15" fillId="0" borderId="29" xfId="0" applyNumberFormat="1" applyFont="1" applyBorder="1"/>
    <xf numFmtId="0" fontId="15" fillId="0" borderId="20" xfId="0" applyFont="1" applyBorder="1" applyAlignment="1">
      <alignment wrapText="1"/>
    </xf>
    <xf numFmtId="0" fontId="29" fillId="0" borderId="0" xfId="0" applyFont="1" applyAlignment="1">
      <alignment wrapText="1"/>
    </xf>
    <xf numFmtId="3" fontId="0" fillId="0" borderId="0" xfId="0" applyNumberFormat="1" applyAlignment="1">
      <alignment wrapText="1"/>
    </xf>
    <xf numFmtId="0" fontId="0" fillId="0" borderId="0" xfId="0" applyFill="1" applyBorder="1" applyAlignment="1">
      <alignment wrapText="1"/>
    </xf>
    <xf numFmtId="165" fontId="31" fillId="0" borderId="0" xfId="0" applyNumberFormat="1" applyFont="1"/>
    <xf numFmtId="0" fontId="18" fillId="0" borderId="0" xfId="0" applyFont="1" applyBorder="1" applyAlignment="1">
      <alignment horizontal="left" vertical="center" wrapText="1"/>
    </xf>
    <xf numFmtId="0" fontId="18" fillId="0" borderId="0" xfId="0" applyNumberFormat="1" applyFont="1" applyBorder="1" applyAlignment="1">
      <alignment horizontal="left" vertical="center" wrapText="1"/>
    </xf>
    <xf numFmtId="0" fontId="0" fillId="0" borderId="0" xfId="0" applyFont="1" applyBorder="1" applyAlignment="1">
      <alignment wrapText="1"/>
    </xf>
    <xf numFmtId="0" fontId="18"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0" fillId="0" borderId="0" xfId="0" applyAlignment="1">
      <alignment vertical="center" wrapText="1"/>
    </xf>
    <xf numFmtId="0" fontId="20" fillId="0" borderId="0" xfId="0" applyFont="1" applyFill="1" applyBorder="1" applyAlignment="1">
      <alignment horizontal="left" vertical="center" wrapText="1"/>
    </xf>
    <xf numFmtId="0" fontId="15"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NumberFormat="1" applyFont="1" applyBorder="1" applyAlignment="1">
      <alignment horizontal="left" vertical="center" wrapText="1"/>
    </xf>
    <xf numFmtId="3" fontId="21" fillId="0" borderId="10" xfId="0" applyNumberFormat="1" applyFont="1" applyFill="1" applyBorder="1" applyAlignment="1">
      <alignment horizontal="left" vertical="center" wrapText="1"/>
    </xf>
    <xf numFmtId="3" fontId="18" fillId="0" borderId="24" xfId="0" applyNumberFormat="1" applyFont="1" applyBorder="1" applyAlignment="1">
      <alignment horizontal="left" vertical="center" wrapText="1"/>
    </xf>
    <xf numFmtId="0" fontId="25" fillId="0" borderId="10" xfId="0" applyFont="1" applyBorder="1" applyAlignment="1">
      <alignment wrapText="1"/>
    </xf>
    <xf numFmtId="0" fontId="25" fillId="0" borderId="10" xfId="0" applyFont="1" applyBorder="1" applyAlignment="1">
      <alignment horizontal="center" wrapText="1"/>
    </xf>
    <xf numFmtId="0" fontId="25" fillId="0" borderId="10" xfId="0" applyFont="1" applyBorder="1" applyAlignment="1">
      <alignment horizontal="right" wrapText="1"/>
    </xf>
    <xf numFmtId="0" fontId="26" fillId="0" borderId="0" xfId="46" applyAlignment="1">
      <alignment vertical="center" wrapText="1"/>
    </xf>
    <xf numFmtId="9" fontId="18" fillId="0" borderId="0" xfId="0" applyNumberFormat="1" applyFont="1" applyAlignment="1">
      <alignment horizontal="center" vertical="center" wrapText="1"/>
    </xf>
    <xf numFmtId="3" fontId="0" fillId="0" borderId="0" xfId="0" applyNumberFormat="1" applyAlignment="1">
      <alignment horizontal="center" vertical="center" wrapText="1"/>
    </xf>
    <xf numFmtId="0" fontId="18" fillId="0" borderId="0" xfId="0" applyFont="1" applyAlignment="1">
      <alignment horizontal="right" vertical="center" wrapText="1"/>
    </xf>
    <xf numFmtId="3" fontId="0" fillId="0" borderId="15" xfId="0" applyNumberFormat="1" applyBorder="1" applyAlignment="1">
      <alignment wrapText="1"/>
    </xf>
    <xf numFmtId="0" fontId="18" fillId="0" borderId="0" xfId="0" quotePrefix="1" applyFont="1" applyAlignment="1">
      <alignment horizontal="right" vertical="center" wrapText="1"/>
    </xf>
    <xf numFmtId="0" fontId="26" fillId="0" borderId="0" xfId="46" applyAlignment="1">
      <alignment wrapText="1"/>
    </xf>
    <xf numFmtId="0" fontId="19" fillId="0" borderId="0" xfId="0" applyFont="1" applyAlignment="1">
      <alignment horizontal="center" vertical="center" wrapText="1"/>
    </xf>
    <xf numFmtId="3" fontId="0" fillId="0" borderId="0" xfId="0" applyNumberFormat="1" applyFont="1" applyAlignment="1">
      <alignment horizontal="center" vertical="center" wrapText="1"/>
    </xf>
    <xf numFmtId="0" fontId="0" fillId="0" borderId="0" xfId="0" applyFont="1" applyAlignment="1">
      <alignment horizontal="right" vertical="center" wrapText="1"/>
    </xf>
    <xf numFmtId="0" fontId="26" fillId="33" borderId="0" xfId="46" applyFill="1" applyAlignment="1">
      <alignment vertical="center" wrapText="1"/>
    </xf>
    <xf numFmtId="9" fontId="18" fillId="0" borderId="0" xfId="0" quotePrefix="1" applyNumberFormat="1" applyFont="1" applyAlignment="1">
      <alignment horizontal="center" vertical="center" wrapText="1"/>
    </xf>
    <xf numFmtId="9" fontId="18" fillId="0" borderId="0" xfId="0" applyNumberFormat="1" applyFont="1" applyFill="1" applyAlignment="1">
      <alignment horizontal="center" vertical="center" wrapText="1"/>
    </xf>
    <xf numFmtId="9" fontId="0" fillId="0" borderId="0" xfId="0" applyNumberFormat="1" applyFont="1" applyFill="1" applyAlignment="1">
      <alignment horizontal="center" vertical="center" wrapText="1"/>
    </xf>
    <xf numFmtId="17" fontId="18" fillId="0" borderId="0" xfId="0" quotePrefix="1" applyNumberFormat="1" applyFont="1" applyAlignment="1">
      <alignment horizontal="right" vertical="center" wrapText="1"/>
    </xf>
    <xf numFmtId="0" fontId="0" fillId="0" borderId="0" xfId="0" quotePrefix="1" applyAlignment="1">
      <alignment horizontal="right" vertical="top" wrapText="1"/>
    </xf>
    <xf numFmtId="0" fontId="18" fillId="0" borderId="0" xfId="0" applyNumberFormat="1" applyFont="1" applyAlignment="1">
      <alignment horizontal="right" vertical="center" wrapText="1"/>
    </xf>
    <xf numFmtId="3" fontId="15" fillId="0" borderId="10" xfId="0" applyNumberFormat="1" applyFont="1" applyFill="1" applyBorder="1" applyAlignment="1">
      <alignment horizontal="center" wrapText="1"/>
    </xf>
    <xf numFmtId="0" fontId="26" fillId="0" borderId="0" xfId="46"/>
    <xf numFmtId="0" fontId="26" fillId="34" borderId="0" xfId="46" applyFill="1" applyAlignment="1">
      <alignment vertical="center" wrapText="1"/>
    </xf>
    <xf numFmtId="3" fontId="0" fillId="0" borderId="17" xfId="0" applyNumberFormat="1" applyBorder="1" applyAlignment="1">
      <alignment wrapText="1"/>
    </xf>
    <xf numFmtId="3" fontId="0" fillId="0" borderId="15" xfId="0" applyNumberFormat="1" applyFill="1" applyBorder="1" applyAlignment="1">
      <alignment wrapText="1"/>
    </xf>
    <xf numFmtId="3" fontId="0" fillId="0" borderId="15" xfId="0" applyNumberFormat="1" applyBorder="1" applyAlignment="1"/>
    <xf numFmtId="3" fontId="0" fillId="0" borderId="15" xfId="0" applyNumberFormat="1" applyFill="1" applyBorder="1" applyAlignment="1"/>
    <xf numFmtId="3" fontId="18" fillId="0" borderId="15" xfId="0" applyNumberFormat="1" applyFont="1" applyFill="1" applyBorder="1" applyAlignment="1">
      <alignment horizontal="right" wrapText="1"/>
    </xf>
    <xf numFmtId="0" fontId="15" fillId="0" borderId="29" xfId="0" applyFont="1" applyBorder="1" applyAlignment="1">
      <alignment wrapText="1"/>
    </xf>
    <xf numFmtId="3" fontId="0" fillId="0" borderId="30" xfId="0" applyNumberFormat="1" applyFont="1" applyBorder="1" applyAlignment="1">
      <alignment wrapText="1"/>
    </xf>
    <xf numFmtId="3" fontId="0" fillId="0" borderId="31" xfId="0" applyNumberFormat="1" applyFont="1" applyBorder="1" applyAlignment="1">
      <alignment wrapText="1"/>
    </xf>
    <xf numFmtId="166" fontId="0" fillId="0" borderId="15" xfId="0" applyNumberFormat="1" applyFill="1" applyBorder="1" applyAlignment="1">
      <alignment wrapText="1"/>
    </xf>
    <xf numFmtId="0" fontId="32" fillId="0" borderId="0" xfId="0" applyFont="1" applyAlignment="1">
      <alignment wrapText="1"/>
    </xf>
    <xf numFmtId="0" fontId="0" fillId="0" borderId="0" xfId="0" applyFill="1"/>
    <xf numFmtId="0" fontId="24" fillId="0" borderId="0" xfId="0" applyFont="1" applyFill="1" applyAlignment="1">
      <alignment wrapText="1"/>
    </xf>
    <xf numFmtId="3" fontId="0" fillId="0" borderId="0" xfId="0" applyNumberFormat="1" applyFont="1" applyBorder="1" applyAlignment="1">
      <alignment wrapText="1"/>
    </xf>
    <xf numFmtId="0" fontId="20" fillId="0" borderId="0" xfId="0" applyFont="1" applyFill="1" applyBorder="1" applyAlignment="1">
      <alignment wrapText="1"/>
    </xf>
    <xf numFmtId="3" fontId="15" fillId="0" borderId="12" xfId="0" applyNumberFormat="1" applyFont="1" applyBorder="1" applyAlignment="1">
      <alignment wrapText="1"/>
    </xf>
    <xf numFmtId="0" fontId="24" fillId="0" borderId="0" xfId="0" applyFont="1" applyFill="1"/>
    <xf numFmtId="0" fontId="34" fillId="0" borderId="0" xfId="0" applyFont="1" applyFill="1" applyBorder="1" applyAlignment="1">
      <alignment wrapText="1"/>
    </xf>
    <xf numFmtId="3" fontId="15" fillId="0" borderId="11" xfId="0" applyNumberFormat="1" applyFont="1" applyBorder="1" applyAlignment="1">
      <alignment wrapText="1"/>
    </xf>
    <xf numFmtId="3" fontId="0" fillId="0" borderId="0" xfId="0" applyNumberFormat="1" applyFill="1" applyBorder="1" applyAlignment="1">
      <alignment wrapText="1"/>
    </xf>
    <xf numFmtId="0" fontId="0" fillId="0" borderId="0" xfId="0" applyFont="1" applyBorder="1" applyAlignment="1">
      <alignment horizontal="left"/>
    </xf>
    <xf numFmtId="0" fontId="18" fillId="0" borderId="0" xfId="0" applyFont="1" applyFill="1" applyBorder="1" applyAlignment="1">
      <alignment horizontal="left" wrapText="1"/>
    </xf>
    <xf numFmtId="0" fontId="18" fillId="0" borderId="0" xfId="0" applyFont="1" applyAlignment="1"/>
    <xf numFmtId="0" fontId="18" fillId="0" borderId="0" xfId="0" applyFont="1" applyBorder="1" applyAlignment="1">
      <alignment horizontal="right" wrapText="1"/>
    </xf>
    <xf numFmtId="0" fontId="26" fillId="0" borderId="0" xfId="46" applyFill="1" applyAlignment="1">
      <alignment wrapText="1"/>
    </xf>
    <xf numFmtId="16" fontId="18" fillId="0" borderId="0" xfId="0" quotePrefix="1" applyNumberFormat="1" applyFont="1" applyAlignment="1">
      <alignment horizontal="right" vertical="center" wrapText="1"/>
    </xf>
    <xf numFmtId="0" fontId="0" fillId="0" borderId="0" xfId="0" applyAlignment="1"/>
    <xf numFmtId="3" fontId="15" fillId="0" borderId="13" xfId="0" applyNumberFormat="1" applyFont="1" applyBorder="1" applyAlignment="1">
      <alignment wrapText="1"/>
    </xf>
    <xf numFmtId="165" fontId="18" fillId="0" borderId="0" xfId="0" applyNumberFormat="1" applyFont="1" applyAlignment="1">
      <alignment horizontal="center" vertical="center" wrapText="1"/>
    </xf>
    <xf numFmtId="0" fontId="0" fillId="0" borderId="0" xfId="0" applyAlignment="1">
      <alignment horizontal="right" vertical="center" wrapText="1"/>
    </xf>
    <xf numFmtId="0" fontId="18" fillId="0" borderId="0" xfId="0" applyFont="1" applyFill="1" applyAlignment="1">
      <alignment horizontal="right" vertical="center" wrapText="1"/>
    </xf>
    <xf numFmtId="3" fontId="0" fillId="0" borderId="0" xfId="0" applyNumberFormat="1" applyFill="1" applyAlignment="1">
      <alignment horizontal="center" vertical="center" wrapText="1"/>
    </xf>
    <xf numFmtId="0" fontId="0" fillId="0" borderId="0" xfId="0" applyAlignment="1">
      <alignment horizontal="center" wrapText="1"/>
    </xf>
    <xf numFmtId="3" fontId="15" fillId="0" borderId="0" xfId="0" applyNumberFormat="1" applyFont="1" applyAlignment="1">
      <alignment horizontal="center" wrapText="1"/>
    </xf>
    <xf numFmtId="3" fontId="15" fillId="0" borderId="0" xfId="0" applyNumberFormat="1" applyFont="1" applyBorder="1" applyAlignment="1">
      <alignment horizontal="center" wrapText="1"/>
    </xf>
    <xf numFmtId="166" fontId="0" fillId="0" borderId="0" xfId="0" applyNumberFormat="1" applyAlignment="1">
      <alignment horizontal="center" vertical="center" wrapText="1"/>
    </xf>
    <xf numFmtId="0" fontId="0" fillId="0" borderId="0" xfId="0" applyBorder="1" applyAlignment="1">
      <alignment wrapText="1"/>
    </xf>
    <xf numFmtId="0" fontId="15" fillId="0" borderId="10" xfId="0" applyFont="1" applyBorder="1" applyAlignment="1">
      <alignment horizontal="left" vertical="center"/>
    </xf>
    <xf numFmtId="0" fontId="26" fillId="0" borderId="0" xfId="46" applyBorder="1" applyAlignment="1">
      <alignment horizontal="left" vertical="center" wrapText="1"/>
    </xf>
    <xf numFmtId="0" fontId="26" fillId="0" borderId="0" xfId="46" applyFont="1" applyBorder="1" applyAlignment="1" applyProtection="1">
      <alignment horizontal="center" vertical="center"/>
    </xf>
    <xf numFmtId="0" fontId="0" fillId="0" borderId="0" xfId="0" applyFont="1" applyBorder="1" applyAlignment="1">
      <alignment horizontal="center" vertical="center"/>
    </xf>
    <xf numFmtId="3" fontId="18" fillId="0" borderId="0" xfId="0" applyNumberFormat="1" applyFont="1" applyBorder="1" applyAlignment="1">
      <alignment horizontal="left" vertical="center" wrapText="1"/>
    </xf>
    <xf numFmtId="0" fontId="18" fillId="0" borderId="0" xfId="0" applyFont="1" applyBorder="1" applyAlignment="1">
      <alignment horizontal="center" vertical="center"/>
    </xf>
    <xf numFmtId="0" fontId="20" fillId="0" borderId="25" xfId="0" applyFont="1" applyFill="1" applyBorder="1" applyAlignment="1">
      <alignment horizontal="left" vertical="center" wrapText="1"/>
    </xf>
    <xf numFmtId="0" fontId="18" fillId="0" borderId="0" xfId="46" applyFont="1" applyFill="1" applyBorder="1" applyAlignment="1" applyProtection="1">
      <alignment horizontal="center" vertical="center"/>
    </xf>
    <xf numFmtId="0" fontId="26" fillId="0" borderId="0" xfId="46" applyFont="1" applyFill="1" applyBorder="1" applyAlignment="1" applyProtection="1">
      <alignment horizontal="center" vertical="center"/>
    </xf>
    <xf numFmtId="0" fontId="26" fillId="0" borderId="0" xfId="46" applyBorder="1" applyAlignment="1">
      <alignment horizontal="center" vertical="center" wrapText="1"/>
    </xf>
    <xf numFmtId="0" fontId="0" fillId="0" borderId="0" xfId="0" applyFont="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0" xfId="0" applyFont="1" applyFill="1" applyBorder="1" applyAlignment="1">
      <alignment wrapText="1"/>
    </xf>
    <xf numFmtId="0" fontId="18" fillId="0" borderId="0" xfId="0" applyFont="1" applyFill="1" applyBorder="1" applyAlignment="1">
      <alignment horizontal="left" vertical="center"/>
    </xf>
    <xf numFmtId="3" fontId="18" fillId="0" borderId="24"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Border="1" applyAlignment="1">
      <alignment horizontal="center" wrapText="1"/>
    </xf>
    <xf numFmtId="3" fontId="0" fillId="0" borderId="24" xfId="0" applyNumberFormat="1" applyBorder="1" applyAlignment="1">
      <alignment horizontal="left" wrapText="1"/>
    </xf>
    <xf numFmtId="3" fontId="37" fillId="0" borderId="0" xfId="0" applyNumberFormat="1" applyFont="1"/>
    <xf numFmtId="0" fontId="24" fillId="0" borderId="0" xfId="0" applyFont="1" applyAlignment="1"/>
    <xf numFmtId="0" fontId="0" fillId="0" borderId="25" xfId="0" applyFont="1" applyFill="1" applyBorder="1" applyAlignment="1">
      <alignment wrapText="1"/>
    </xf>
    <xf numFmtId="0" fontId="0" fillId="0" borderId="25" xfId="0" applyFont="1" applyBorder="1" applyAlignment="1">
      <alignment wrapText="1"/>
    </xf>
    <xf numFmtId="0" fontId="38" fillId="0" borderId="10" xfId="0" applyFont="1" applyFill="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Fill="1" applyBorder="1" applyAlignment="1">
      <alignment horizontal="left" vertical="center" wrapText="1"/>
    </xf>
    <xf numFmtId="0" fontId="24" fillId="0" borderId="0" xfId="0" applyFont="1" applyBorder="1" applyAlignment="1">
      <alignment horizontal="left" vertical="center"/>
    </xf>
    <xf numFmtId="0" fontId="34" fillId="0" borderId="0" xfId="0" applyFont="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34" fillId="0" borderId="0" xfId="0" applyFont="1" applyFill="1" applyBorder="1" applyAlignment="1">
      <alignment horizontal="left" vertical="center"/>
    </xf>
    <xf numFmtId="0" fontId="24" fillId="0" borderId="0" xfId="0" applyFont="1" applyBorder="1" applyAlignment="1">
      <alignment wrapText="1"/>
    </xf>
    <xf numFmtId="0" fontId="18" fillId="0" borderId="32" xfId="0" applyFont="1" applyFill="1" applyBorder="1" applyAlignment="1">
      <alignment horizontal="left" vertical="center" wrapText="1"/>
    </xf>
    <xf numFmtId="3" fontId="0" fillId="0" borderId="24" xfId="0" applyNumberFormat="1" applyFill="1" applyBorder="1" applyAlignment="1">
      <alignment horizontal="left" wrapText="1"/>
    </xf>
    <xf numFmtId="3" fontId="0" fillId="0" borderId="0" xfId="0" applyNumberFormat="1" applyFill="1" applyBorder="1" applyAlignment="1">
      <alignment horizontal="left" wrapText="1"/>
    </xf>
    <xf numFmtId="3" fontId="18" fillId="0" borderId="0" xfId="0" applyNumberFormat="1" applyFont="1" applyFill="1" applyBorder="1" applyAlignment="1">
      <alignment horizontal="left" vertical="center" wrapText="1"/>
    </xf>
    <xf numFmtId="3" fontId="0" fillId="0" borderId="14" xfId="0" applyNumberFormat="1" applyBorder="1"/>
    <xf numFmtId="3" fontId="0" fillId="0" borderId="14" xfId="0" applyNumberFormat="1" applyFill="1" applyBorder="1"/>
    <xf numFmtId="0" fontId="0" fillId="0" borderId="15" xfId="0" applyFont="1" applyBorder="1" applyAlignment="1">
      <alignment wrapText="1"/>
    </xf>
    <xf numFmtId="0" fontId="24" fillId="0" borderId="0" xfId="0" applyFont="1" applyFill="1" applyBorder="1"/>
    <xf numFmtId="0" fontId="34" fillId="0" borderId="0" xfId="0" applyFont="1" applyFill="1" applyBorder="1" applyAlignment="1">
      <alignment vertical="center" wrapText="1"/>
    </xf>
    <xf numFmtId="0" fontId="24" fillId="0" borderId="0" xfId="0" applyFont="1" applyFill="1" applyBorder="1" applyAlignment="1">
      <alignment wrapText="1"/>
    </xf>
    <xf numFmtId="0" fontId="0" fillId="0" borderId="18" xfId="0" applyBorder="1" applyAlignment="1">
      <alignment wrapText="1"/>
    </xf>
    <xf numFmtId="0" fontId="15" fillId="0" borderId="10" xfId="0" applyFont="1" applyBorder="1"/>
    <xf numFmtId="0" fontId="15" fillId="0" borderId="11" xfId="0" applyFont="1" applyBorder="1" applyAlignment="1">
      <alignment horizontal="right" vertical="center" wrapText="1"/>
    </xf>
    <xf numFmtId="0" fontId="34" fillId="0" borderId="0" xfId="0" applyFont="1" applyAlignment="1">
      <alignment vertical="top" wrapText="1"/>
    </xf>
    <xf numFmtId="0" fontId="34" fillId="0" borderId="0" xfId="0" applyFont="1" applyFill="1" applyAlignment="1">
      <alignment vertical="top" wrapText="1"/>
    </xf>
    <xf numFmtId="0" fontId="24" fillId="0" borderId="0" xfId="0" applyFont="1" applyAlignment="1">
      <alignment vertical="top" wrapText="1"/>
    </xf>
    <xf numFmtId="0" fontId="34" fillId="0" borderId="0" xfId="0" applyFont="1" applyBorder="1" applyAlignment="1">
      <alignment wrapText="1"/>
    </xf>
    <xf numFmtId="3" fontId="0" fillId="0" borderId="0" xfId="0" applyNumberFormat="1" applyAlignment="1">
      <alignment horizontal="center" wrapText="1"/>
    </xf>
    <xf numFmtId="165" fontId="0" fillId="0" borderId="0" xfId="0" applyNumberFormat="1" applyAlignment="1">
      <alignment horizontal="center" wrapText="1"/>
    </xf>
    <xf numFmtId="0" fontId="15" fillId="0" borderId="20" xfId="0" applyFont="1" applyBorder="1" applyAlignment="1">
      <alignment horizontal="center" wrapText="1"/>
    </xf>
    <xf numFmtId="3" fontId="0" fillId="0" borderId="13" xfId="0" applyNumberFormat="1" applyBorder="1" applyAlignment="1">
      <alignment horizontal="center" wrapText="1"/>
    </xf>
    <xf numFmtId="165" fontId="0" fillId="0" borderId="13" xfId="0" applyNumberFormat="1" applyBorder="1" applyAlignment="1">
      <alignment horizontal="center" wrapText="1"/>
    </xf>
    <xf numFmtId="3" fontId="0" fillId="0" borderId="0" xfId="0" applyNumberFormat="1" applyBorder="1" applyAlignment="1">
      <alignment horizontal="center" wrapText="1"/>
    </xf>
    <xf numFmtId="165" fontId="0" fillId="0" borderId="29" xfId="0" applyNumberFormat="1" applyBorder="1" applyAlignment="1">
      <alignment horizontal="center" wrapText="1"/>
    </xf>
    <xf numFmtId="0" fontId="33" fillId="0" borderId="0" xfId="0" applyFont="1" applyFill="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3" fontId="24" fillId="0" borderId="0" xfId="0" applyNumberFormat="1" applyFont="1" applyFill="1"/>
    <xf numFmtId="3" fontId="24" fillId="0" borderId="0" xfId="0" applyNumberFormat="1" applyFont="1"/>
    <xf numFmtId="3" fontId="24" fillId="0" borderId="0" xfId="0" applyNumberFormat="1" applyFont="1" applyFill="1" applyBorder="1" applyAlignment="1">
      <alignment wrapText="1"/>
    </xf>
    <xf numFmtId="0" fontId="34" fillId="0" borderId="0" xfId="0" applyFont="1" applyAlignment="1"/>
    <xf numFmtId="3" fontId="15" fillId="0" borderId="20" xfId="0" applyNumberFormat="1" applyFont="1" applyFill="1" applyBorder="1" applyAlignment="1">
      <alignment wrapText="1"/>
    </xf>
    <xf numFmtId="0" fontId="24" fillId="0" borderId="0" xfId="0" applyFont="1" applyAlignment="1">
      <alignment horizontal="center" wrapText="1"/>
    </xf>
    <xf numFmtId="0" fontId="15" fillId="0" borderId="11" xfId="0" applyFont="1" applyBorder="1" applyAlignment="1">
      <alignment horizontal="right" wrapText="1"/>
    </xf>
    <xf numFmtId="9" fontId="15" fillId="0" borderId="11" xfId="0" applyNumberFormat="1" applyFont="1" applyBorder="1" applyAlignment="1">
      <alignment horizontal="right" wrapText="1"/>
    </xf>
    <xf numFmtId="9" fontId="0" fillId="0" borderId="14" xfId="0" applyNumberFormat="1" applyBorder="1" applyAlignment="1">
      <alignment horizontal="right" wrapText="1"/>
    </xf>
    <xf numFmtId="9" fontId="0" fillId="0" borderId="14" xfId="0" applyNumberFormat="1" applyFont="1" applyBorder="1" applyAlignment="1">
      <alignment horizontal="right" wrapText="1"/>
    </xf>
    <xf numFmtId="9" fontId="0" fillId="0" borderId="14" xfId="0" applyNumberFormat="1" applyFill="1" applyBorder="1" applyAlignment="1">
      <alignment horizontal="right" wrapText="1"/>
    </xf>
    <xf numFmtId="167" fontId="0" fillId="0" borderId="14" xfId="0" applyNumberFormat="1" applyFont="1" applyBorder="1" applyAlignment="1">
      <alignment horizontal="right" wrapText="1"/>
    </xf>
    <xf numFmtId="165" fontId="0" fillId="0" borderId="14" xfId="0" applyNumberFormat="1" applyBorder="1" applyAlignment="1">
      <alignment horizontal="right" wrapText="1"/>
    </xf>
    <xf numFmtId="9" fontId="0" fillId="0" borderId="16" xfId="0" applyNumberFormat="1" applyBorder="1" applyAlignment="1">
      <alignment horizontal="right" wrapText="1"/>
    </xf>
    <xf numFmtId="9" fontId="0" fillId="0" borderId="0" xfId="0" applyNumberFormat="1" applyFont="1" applyAlignment="1">
      <alignment horizontal="right" wrapText="1"/>
    </xf>
    <xf numFmtId="3" fontId="15" fillId="0" borderId="13" xfId="0" applyNumberFormat="1" applyFont="1" applyBorder="1" applyAlignment="1">
      <alignment horizontal="right" wrapText="1"/>
    </xf>
    <xf numFmtId="3" fontId="0" fillId="0" borderId="0" xfId="0" applyNumberFormat="1" applyBorder="1" applyAlignment="1">
      <alignment horizontal="right" wrapText="1"/>
    </xf>
    <xf numFmtId="3" fontId="0" fillId="0" borderId="0" xfId="0" applyNumberFormat="1" applyFont="1" applyBorder="1" applyAlignment="1">
      <alignment horizontal="right" wrapText="1"/>
    </xf>
    <xf numFmtId="3" fontId="0" fillId="0" borderId="0" xfId="0" applyNumberFormat="1" applyAlignment="1">
      <alignment horizontal="right" vertical="center" wrapText="1"/>
    </xf>
    <xf numFmtId="3" fontId="0" fillId="0" borderId="0" xfId="0" applyNumberFormat="1" applyFont="1" applyAlignment="1">
      <alignment horizontal="right" wrapText="1"/>
    </xf>
    <xf numFmtId="166" fontId="0" fillId="0" borderId="0" xfId="0" applyNumberFormat="1" applyFont="1" applyBorder="1" applyAlignment="1">
      <alignment horizontal="right" wrapText="1"/>
    </xf>
    <xf numFmtId="3" fontId="0" fillId="0" borderId="10" xfId="0" applyNumberFormat="1" applyBorder="1" applyAlignment="1">
      <alignment horizontal="right" wrapText="1"/>
    </xf>
    <xf numFmtId="3" fontId="15" fillId="0" borderId="12" xfId="0" applyNumberFormat="1" applyFont="1" applyBorder="1" applyAlignment="1">
      <alignment horizontal="center" wrapText="1"/>
    </xf>
    <xf numFmtId="3" fontId="0" fillId="0" borderId="0" xfId="0" applyNumberFormat="1" applyFill="1" applyAlignment="1">
      <alignment horizontal="left" wrapText="1"/>
    </xf>
    <xf numFmtId="0" fontId="0" fillId="0" borderId="0" xfId="0" applyFill="1" applyAlignment="1">
      <alignment wrapText="1"/>
    </xf>
    <xf numFmtId="0" fontId="24" fillId="0" borderId="0" xfId="0" applyFont="1" applyFill="1" applyBorder="1" applyAlignment="1"/>
    <xf numFmtId="0" fontId="34" fillId="0" borderId="0" xfId="0" applyFont="1" applyFill="1" applyAlignment="1"/>
    <xf numFmtId="0" fontId="0" fillId="0" borderId="0" xfId="0" applyFill="1" applyAlignment="1">
      <alignment horizontal="left" wrapText="1"/>
    </xf>
    <xf numFmtId="0" fontId="24" fillId="0" borderId="0" xfId="0" applyFont="1" applyFill="1" applyAlignment="1"/>
    <xf numFmtId="0" fontId="26" fillId="0" borderId="0" xfId="46" applyFont="1" applyAlignment="1">
      <alignment vertical="center" wrapText="1"/>
    </xf>
    <xf numFmtId="9" fontId="0" fillId="0" borderId="0" xfId="0" applyNumberFormat="1" applyFont="1" applyAlignment="1">
      <alignment horizontal="center" vertical="center" wrapText="1"/>
    </xf>
    <xf numFmtId="0" fontId="0" fillId="0" borderId="21" xfId="0" applyBorder="1" applyAlignment="1">
      <alignment horizontal="left" wrapText="1"/>
    </xf>
    <xf numFmtId="0" fontId="0" fillId="0" borderId="22" xfId="0" applyBorder="1" applyAlignment="1">
      <alignment horizontal="left" wrapText="1"/>
    </xf>
    <xf numFmtId="0" fontId="0" fillId="0" borderId="24" xfId="0" applyBorder="1" applyAlignment="1">
      <alignment horizontal="left" wrapText="1"/>
    </xf>
    <xf numFmtId="0" fontId="0" fillId="0" borderId="0" xfId="0" applyBorder="1" applyAlignment="1">
      <alignment horizontal="left" wrapText="1"/>
    </xf>
  </cellXfs>
  <cellStyles count="47">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Comma 2" xfId="43"/>
    <cellStyle name="Comma 3" xfId="44"/>
    <cellStyle name="Comma 4" xfId="45"/>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6" builtinId="8"/>
    <cellStyle name="Input" xfId="8" builtinId="20" customBuiltin="1"/>
    <cellStyle name="Linked Cell" xfId="11" builtinId="24" customBuiltin="1"/>
    <cellStyle name="Neutral" xfId="7" builtinId="28" customBuiltin="1"/>
    <cellStyle name="Normal" xfId="0" builtinId="0"/>
    <cellStyle name="Normal 2" xfId="42"/>
    <cellStyle name="Note" xfId="14" builtinId="10" customBuiltin="1"/>
    <cellStyle name="Output" xfId="9" builtinId="21" customBuiltin="1"/>
    <cellStyle name="Title 2" xfId="41"/>
    <cellStyle name="Total" xfId="16" builtinId="25" customBuiltin="1"/>
    <cellStyle name="Warning Text" xfId="13" builtinId="11" customBuiltin="1"/>
  </cellStyles>
  <dxfs count="42">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
      <font>
        <color rgb="FF000000"/>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d.int/doc/meetings/sbstta/sbstta-20/information/sbstta-20-inf-67-en.pdf" TargetMode="External"/><Relationship Id="rId2" Type="http://schemas.openxmlformats.org/officeDocument/2006/relationships/hyperlink" Target="https://www.cbd.int/doc/meetings/sbstta/sbstta-20/information/sbstta-20-inf-66-en.pdf" TargetMode="External"/><Relationship Id="rId1" Type="http://schemas.openxmlformats.org/officeDocument/2006/relationships/hyperlink" Target="https://www.cbd.int/doc/meetings/sbstta/sbstta-20/information/sbstta-20-inf-65-en.pdf" TargetMode="External"/><Relationship Id="rId5" Type="http://schemas.openxmlformats.org/officeDocument/2006/relationships/printerSettings" Target="../printerSettings/printerSettings2.bin"/><Relationship Id="rId4" Type="http://schemas.openxmlformats.org/officeDocument/2006/relationships/hyperlink" Target="https://www.cbd.int/doc/meetings/pa/paws-2016-01/official/paws-2016-01-03-en.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thegef.org/project/securing-biodiversity-conservation-and-sustainable-use-huangshan-municipality" TargetMode="External"/><Relationship Id="rId18" Type="http://schemas.openxmlformats.org/officeDocument/2006/relationships/hyperlink" Target="https://www.thegef.org/project/cbpf-msl-strengthening-management-effectiveness-wetland-protected-area-system-anhui-province" TargetMode="External"/><Relationship Id="rId26" Type="http://schemas.openxmlformats.org/officeDocument/2006/relationships/hyperlink" Target="https://www.thegef.org/project/creation-conkouati-dimonika-pa-complex-and-development-community-private-sector" TargetMode="External"/><Relationship Id="rId39" Type="http://schemas.openxmlformats.org/officeDocument/2006/relationships/hyperlink" Target="https://www.thegef.org/project/enhancing-protected-area-system-sulawesi-e-pass-biodiversity-conservation" TargetMode="External"/><Relationship Id="rId21" Type="http://schemas.openxmlformats.org/officeDocument/2006/relationships/hyperlink" Target="https://www.thegef.org/project/conservation-and-sustainable-use-biodiversity-dry-ecosystems-guarantee-flow-ecosystem" TargetMode="External"/><Relationship Id="rId34" Type="http://schemas.openxmlformats.org/officeDocument/2006/relationships/hyperlink" Target="https://www.thegef.org/project/gambia-protected-areas-network-and-community-livelihood-project" TargetMode="External"/><Relationship Id="rId42" Type="http://schemas.openxmlformats.org/officeDocument/2006/relationships/hyperlink" Target="https://www.thegef.org/project/improving-sustainability-pa-system-desert-ecosystems-through-promotion-biodiversity" TargetMode="External"/><Relationship Id="rId47" Type="http://schemas.openxmlformats.org/officeDocument/2006/relationships/hyperlink" Target="https://www.thegef.org/project/sustainable-forest-and-land-management-dry-dipterocarp-forest-ecosystems-southern-lao-pdr" TargetMode="External"/><Relationship Id="rId50" Type="http://schemas.openxmlformats.org/officeDocument/2006/relationships/hyperlink" Target="https://www.thegef.org/project/strengthening-management-effectiveness-and-resilience-protected-areas-safeguard-biodiversity" TargetMode="External"/><Relationship Id="rId55" Type="http://schemas.openxmlformats.org/officeDocument/2006/relationships/hyperlink" Target="https://www.thegef.org/project/strengthening-conservation-globally-threatened-species-mozambique-through-improving-0" TargetMode="External"/><Relationship Id="rId63" Type="http://schemas.openxmlformats.org/officeDocument/2006/relationships/hyperlink" Target="https://www.thegef.org/project/transforming-management-protected-arealandscape-complexes-strengthen-ecosystem-resilience" TargetMode="External"/><Relationship Id="rId68" Type="http://schemas.openxmlformats.org/officeDocument/2006/relationships/hyperlink" Target="https://www.thegef.org/project/sustainable-natural-resource-use-and-forest-management-key-mountainous-areas-important" TargetMode="External"/><Relationship Id="rId76" Type="http://schemas.openxmlformats.org/officeDocument/2006/relationships/hyperlink" Target="https://www.thegef.org/project/maximizing-carbon-sink-capacity-and-conserving-biodiversity-through-sustainable-conservation" TargetMode="External"/><Relationship Id="rId84" Type="http://schemas.openxmlformats.org/officeDocument/2006/relationships/hyperlink" Target="https://www.thegef.org/project/strengthening-effectiveness-national-protected-area-system-including-landscape-approach" TargetMode="External"/><Relationship Id="rId7" Type="http://schemas.openxmlformats.org/officeDocument/2006/relationships/hyperlink" Target="https://www.thegef.org/project/achieving-biodiversity-conservation-through-creation-effective-management-and-spatial" TargetMode="External"/><Relationship Id="rId71" Type="http://schemas.openxmlformats.org/officeDocument/2006/relationships/hyperlink" Target="https://www.thegef.org/project/integrated-approach-management-forests-demonstration-high-conservation-value-forests" TargetMode="External"/><Relationship Id="rId2" Type="http://schemas.openxmlformats.org/officeDocument/2006/relationships/hyperlink" Target="https://www.thegef.org/project/expansion-and-strengthening-angola%E2%80%99s-protected-area-system" TargetMode="External"/><Relationship Id="rId16" Type="http://schemas.openxmlformats.org/officeDocument/2006/relationships/hyperlink" Target="https://www.thegef.org/project/cbpf-msl-strengthening-management-effectiveness-wetland-protected-area-system-hainan" TargetMode="External"/><Relationship Id="rId29" Type="http://schemas.openxmlformats.org/officeDocument/2006/relationships/hyperlink" Target="https://www.thegef.org/project/landscape-approach-conservation-threatened-mountain-ecosystems" TargetMode="External"/><Relationship Id="rId11" Type="http://schemas.openxmlformats.org/officeDocument/2006/relationships/hyperlink" Target="https://www.thegef.org/project/sustainable-forest-management-under-authority-cameroonian-councils" TargetMode="External"/><Relationship Id="rId24" Type="http://schemas.openxmlformats.org/officeDocument/2006/relationships/hyperlink" Target="https://www.thegef.org/project/conservation-biodiversity-landscapes-impacted-mining-choco-biogeographic-region" TargetMode="External"/><Relationship Id="rId32" Type="http://schemas.openxmlformats.org/officeDocument/2006/relationships/hyperlink" Target="https://www.thegef.org/project/integrated-semenawi-and-debubawi-bahri-buri-irrori-hawakil-protected-area-system" TargetMode="External"/><Relationship Id="rId37" Type="http://schemas.openxmlformats.org/officeDocument/2006/relationships/hyperlink" Target="https://www.thegef.org/project/developing-effective-multiple-use-management-framework-conserving-biodiversity-mountain" TargetMode="External"/><Relationship Id="rId40" Type="http://schemas.openxmlformats.org/officeDocument/2006/relationships/hyperlink" Target="https://www.thegef.org/project/building-multiple-use-forest-management-framework-conserve-biodiversity-caspian-hyrcanian" TargetMode="External"/><Relationship Id="rId45" Type="http://schemas.openxmlformats.org/officeDocument/2006/relationships/hyperlink" Target="https://www.thegef.org/project/improving-coverage-and-management-effectiveness-pas-central-tian-shan-mountains" TargetMode="External"/><Relationship Id="rId53" Type="http://schemas.openxmlformats.org/officeDocument/2006/relationships/hyperlink" Target="https://www.thegef.org/project/network-managed-resource-protected-areas" TargetMode="External"/><Relationship Id="rId58" Type="http://schemas.openxmlformats.org/officeDocument/2006/relationships/hyperlink" Target="https://www.thegef.org/project/application-ridge-reef-concept-biodiversity-conservation-and-enhancement-ecosystem-service" TargetMode="External"/><Relationship Id="rId66" Type="http://schemas.openxmlformats.org/officeDocument/2006/relationships/hyperlink" Target="https://www.thegef.org/project/mainstreaming-natural-resource-management-and-biodiversity-conservation-objectives-socio" TargetMode="External"/><Relationship Id="rId74" Type="http://schemas.openxmlformats.org/officeDocument/2006/relationships/hyperlink" Target="https://www.thegef.org/project/securing-long-term-conservation-timor-leste-biodiversity-and-ecosystem-services-through" TargetMode="External"/><Relationship Id="rId79" Type="http://schemas.openxmlformats.org/officeDocument/2006/relationships/hyperlink" Target="https://www.thegef.org/project/improving-management-effectiveness-protected-area-network" TargetMode="External"/><Relationship Id="rId5" Type="http://schemas.openxmlformats.org/officeDocument/2006/relationships/hyperlink" Target="https://www.thegef.org/project/landscape-approach-management-peatlands-aiming-multiple-ecological-benefits" TargetMode="External"/><Relationship Id="rId61" Type="http://schemas.openxmlformats.org/officeDocument/2006/relationships/hyperlink" Target="https://www.thegef.org/project/r2r-strengthening-management-effectiveness-national-system-protected-areas" TargetMode="External"/><Relationship Id="rId82" Type="http://schemas.openxmlformats.org/officeDocument/2006/relationships/hyperlink" Target="https://www.thegef.org/project/integrated-ecosystem-management-and-restoration-forests-south-east-coast-st-lucia" TargetMode="External"/><Relationship Id="rId19" Type="http://schemas.openxmlformats.org/officeDocument/2006/relationships/hyperlink" Target="https://www.thegef.org/project/chinas-protected-area-system-reform-c-par" TargetMode="External"/><Relationship Id="rId4" Type="http://schemas.openxmlformats.org/officeDocument/2006/relationships/hyperlink" Target="https://www.thegef.org/project/expanding-pa-system-incorporate-important-aquatic-ecosystems" TargetMode="External"/><Relationship Id="rId9" Type="http://schemas.openxmlformats.org/officeDocument/2006/relationships/hyperlink" Target="https://www.thegef.org/project/conservation-restoration-and-sustainable-management-strategies-enhance-caatinga-pampa-and" TargetMode="External"/><Relationship Id="rId14" Type="http://schemas.openxmlformats.org/officeDocument/2006/relationships/hyperlink" Target="https://www.thegef.org/project/cbpf-msl-strengthening-management-effectiveness-protected-area-landscape-altai-mountains-and" TargetMode="External"/><Relationship Id="rId22" Type="http://schemas.openxmlformats.org/officeDocument/2006/relationships/hyperlink" Target="https://www.thegef.org/project/consolidation-national-system-protected-areassinap-national-and-regional-levels" TargetMode="External"/><Relationship Id="rId27" Type="http://schemas.openxmlformats.org/officeDocument/2006/relationships/hyperlink" Target="https://www.thegef.org/project/conservation-sustainable-use-biodiversity-and-maintenance-ecosystem-services-internationally" TargetMode="External"/><Relationship Id="rId30" Type="http://schemas.openxmlformats.org/officeDocument/2006/relationships/hyperlink" Target="https://www.thegef.org/project/mainstreaming-conservation-and-sustainable-use-biodiversity-tourism-development-and" TargetMode="External"/><Relationship Id="rId35" Type="http://schemas.openxmlformats.org/officeDocument/2006/relationships/hyperlink" Target="https://www.thegef.org/project/expansion-and-improved-management-effectiveness-achara-region%E2%80%99s-protected-areas" TargetMode="External"/><Relationship Id="rId43" Type="http://schemas.openxmlformats.org/officeDocument/2006/relationships/hyperlink" Target="https://www.thegef.org/project/conservation-and-sustainable-management-key-globally-important-ecosystems-multiple-benefits" TargetMode="External"/><Relationship Id="rId48" Type="http://schemas.openxmlformats.org/officeDocument/2006/relationships/hyperlink" Target="https://www.thegef.org/project/mainstreaming-ias-prevention-control-and-management" TargetMode="External"/><Relationship Id="rId56" Type="http://schemas.openxmlformats.org/officeDocument/2006/relationships/hyperlink" Target="https://www.thegef.org/project/strengthening-sustainability-protected-area-management" TargetMode="External"/><Relationship Id="rId64" Type="http://schemas.openxmlformats.org/officeDocument/2006/relationships/hyperlink" Target="https://www.thegef.org/project/strengthening-management-effectiveness-and-generating-multiple-environmental-benefits-within" TargetMode="External"/><Relationship Id="rId69" Type="http://schemas.openxmlformats.org/officeDocument/2006/relationships/hyperlink" Target="https://www.thegef.org/project/enhancing-forest-nature-reserves-network-biodiversity-conservation-tanzania" TargetMode="External"/><Relationship Id="rId77" Type="http://schemas.openxmlformats.org/officeDocument/2006/relationships/hyperlink" Target="https://www.thegef.org/project/conservation-and-sustainable-use-pamir-alay-and-tian-shan-ecosystems-snow-leopard-protection" TargetMode="External"/><Relationship Id="rId8" Type="http://schemas.openxmlformats.org/officeDocument/2006/relationships/hyperlink" Target="https://www.thegef.org/project/recovery-and-protection-climate-and-biodiversity-services-southeast-atlantic-forest-corridor" TargetMode="External"/><Relationship Id="rId51" Type="http://schemas.openxmlformats.org/officeDocument/2006/relationships/hyperlink" Target="https://www.thegef.org/project/conservation-and-sustainable-use-biological-diversity-priority-landscapes-oaxaca-and-chiapas" TargetMode="External"/><Relationship Id="rId72" Type="http://schemas.openxmlformats.org/officeDocument/2006/relationships/hyperlink" Target="https://www.thegef.org/project/conservation-and-sustainable-management-turkeys-steppe-ecosystems" TargetMode="External"/><Relationship Id="rId80" Type="http://schemas.openxmlformats.org/officeDocument/2006/relationships/hyperlink" Target="https://www.thegef.org/project/integrated-forest-management-solomon-islands" TargetMode="External"/><Relationship Id="rId85" Type="http://schemas.openxmlformats.org/officeDocument/2006/relationships/hyperlink" Target="https://www.thegef.org/project/enhancing-biodiversity-conservation-and-sustenance-ecosystem-services-environmentally" TargetMode="External"/><Relationship Id="rId3" Type="http://schemas.openxmlformats.org/officeDocument/2006/relationships/hyperlink" Target="https://www.thegef.org/project/path-2020-antigua-and-barbuda" TargetMode="External"/><Relationship Id="rId12" Type="http://schemas.openxmlformats.org/officeDocument/2006/relationships/hyperlink" Target="https://www.thegef.org/project/cbpf-msl-strengthening-management-effectiveness-sub-system-wetland-protected-areas" TargetMode="External"/><Relationship Id="rId17" Type="http://schemas.openxmlformats.org/officeDocument/2006/relationships/hyperlink" Target="https://www.thegef.org/project/cbpf-msl-strengthening-management-effectiveness-protected-area-network-daxing%E2%80%99anling" TargetMode="External"/><Relationship Id="rId25" Type="http://schemas.openxmlformats.org/officeDocument/2006/relationships/hyperlink" Target="https://www.thegef.org/project/development-national-network-terrestrial-and-marine-protected-areas-representative-comoros" TargetMode="External"/><Relationship Id="rId33" Type="http://schemas.openxmlformats.org/officeDocument/2006/relationships/hyperlink" Target="https://www.thegef.org/project/implementing-ridge-reef-approach-preserve-ecosystem-services-sequester-carbon-improve" TargetMode="External"/><Relationship Id="rId38" Type="http://schemas.openxmlformats.org/officeDocument/2006/relationships/hyperlink" Target="https://www.thegef.org/project/integrated-management-wetland-biodiversity-and-ecosystems-services-imwbes" TargetMode="External"/><Relationship Id="rId46" Type="http://schemas.openxmlformats.org/officeDocument/2006/relationships/hyperlink" Target="https://www.thegef.org/project/conservation-globally-important-biodiversity-and-associated-land-and-forest-resources" TargetMode="External"/><Relationship Id="rId59" Type="http://schemas.openxmlformats.org/officeDocument/2006/relationships/hyperlink" Target="https://www.thegef.org/project/r2r-advancing-sustainable-resources-management-improve-livelihoods-and-protect-biodiversity" TargetMode="External"/><Relationship Id="rId67" Type="http://schemas.openxmlformats.org/officeDocument/2006/relationships/hyperlink" Target="https://www.thegef.org/project/r2r-integrated-sustainable-land-and-coastal-management" TargetMode="External"/><Relationship Id="rId20" Type="http://schemas.openxmlformats.org/officeDocument/2006/relationships/hyperlink" Target="https://www.thegef.org/project/landscape-approach-wildlife-conservation-northeastern-china" TargetMode="External"/><Relationship Id="rId41" Type="http://schemas.openxmlformats.org/officeDocument/2006/relationships/hyperlink" Target="https://www.thegef.org/project/initial-steps-establishment-national-protected-areas-network" TargetMode="External"/><Relationship Id="rId54" Type="http://schemas.openxmlformats.org/officeDocument/2006/relationships/hyperlink" Target="https://www.thegef.org/project/ensuring-sustainability-and-resilience-ensure-green-landscapes-mongolia" TargetMode="External"/><Relationship Id="rId62" Type="http://schemas.openxmlformats.org/officeDocument/2006/relationships/hyperlink" Target="https://www.thegef.org/project/conservation-management-and-rehabilitation-fragile-lomas-ecosystems" TargetMode="External"/><Relationship Id="rId70" Type="http://schemas.openxmlformats.org/officeDocument/2006/relationships/hyperlink" Target="https://www.thegef.org/project/conservation-and-sustainable-use-threatened-savanna-woodland-kidepo-critical-landscape-north" TargetMode="External"/><Relationship Id="rId75" Type="http://schemas.openxmlformats.org/officeDocument/2006/relationships/hyperlink" Target="https://www.thegef.org/project/achieving-biodiversity-conservation-through-creation-and-effective-management-protected" TargetMode="External"/><Relationship Id="rId83" Type="http://schemas.openxmlformats.org/officeDocument/2006/relationships/hyperlink" Target="https://www.thegef.org/project/conserving-biodiversity-and-reducing-land-degradation-using-ridge-reef-approach" TargetMode="External"/><Relationship Id="rId1" Type="http://schemas.openxmlformats.org/officeDocument/2006/relationships/hyperlink" Target="https://www.thegef.org/project/establishing-integrated-models-protected-areas-and-their-co-management" TargetMode="External"/><Relationship Id="rId6" Type="http://schemas.openxmlformats.org/officeDocument/2006/relationships/hyperlink" Target="https://www.thegef.org/project/sustainable-forest-management-and-conservation-project-central-and-south-benin" TargetMode="External"/><Relationship Id="rId15" Type="http://schemas.openxmlformats.org/officeDocument/2006/relationships/hyperlink" Target="https://www.thegef.org/project/cbpf-msl-piloting-provincial-level-wetland-protected-area-system-jiangxi-province" TargetMode="External"/><Relationship Id="rId23" Type="http://schemas.openxmlformats.org/officeDocument/2006/relationships/hyperlink" Target="https://www.thegef.org/project/sustainable-management-and-conservation-biodiversity-magdalena-river-basin" TargetMode="External"/><Relationship Id="rId28" Type="http://schemas.openxmlformats.org/officeDocument/2006/relationships/hyperlink" Target="https://www.thegef.org/project/democratic-republic-congo-conservation-trust-fund-af-national-parks-network-rehabilitation" TargetMode="External"/><Relationship Id="rId36" Type="http://schemas.openxmlformats.org/officeDocument/2006/relationships/hyperlink" Target="https://www.thegef.org/project/implementing-ridge-reef-approach-protecting-biodiversity-and-ecosystem-functions-within-and" TargetMode="External"/><Relationship Id="rId49" Type="http://schemas.openxmlformats.org/officeDocument/2006/relationships/hyperlink" Target="https://www.thegef.org/project/strengthening-management-pa-system-better-conserve-endangered-species-and-their-habitats" TargetMode="External"/><Relationship Id="rId57" Type="http://schemas.openxmlformats.org/officeDocument/2006/relationships/hyperlink" Target="https://www.thegef.org/project/ridge-reef-integrated-protected-area-land-and-seascape-management-tanintharyi" TargetMode="External"/><Relationship Id="rId10" Type="http://schemas.openxmlformats.org/officeDocument/2006/relationships/hyperlink" Target="https://www.thegef.org/project/sustainable-farming-and-critical-habitat-conservation-achieve-biodiversity-mainstreaming-and" TargetMode="External"/><Relationship Id="rId31" Type="http://schemas.openxmlformats.org/officeDocument/2006/relationships/hyperlink" Target="https://www.thegef.org/project/conservation-sustainable-use-biodiversity-and-maintenance-ecosystem-services-protected" TargetMode="External"/><Relationship Id="rId44" Type="http://schemas.openxmlformats.org/officeDocument/2006/relationships/hyperlink" Target="https://www.thegef.org/project/resilient-islands-resilient-communities" TargetMode="External"/><Relationship Id="rId52" Type="http://schemas.openxmlformats.org/officeDocument/2006/relationships/hyperlink" Target="https://www.thegef.org/project/conservation-coastal-watersheds-achieve-multiple-global-environmental-benefits-context" TargetMode="External"/><Relationship Id="rId60" Type="http://schemas.openxmlformats.org/officeDocument/2006/relationships/hyperlink" Target="https://www.thegef.org/project/pakistan-snow-leopard-and-ecosystem-protection-program-resubmission" TargetMode="External"/><Relationship Id="rId65" Type="http://schemas.openxmlformats.org/officeDocument/2006/relationships/hyperlink" Target="https://www.thegef.org/project/conservation-critical-wetland-pas-and-linked-landscapes" TargetMode="External"/><Relationship Id="rId73" Type="http://schemas.openxmlformats.org/officeDocument/2006/relationships/hyperlink" Target="https://www.thegef.org/project/improving-forest-and-protected-area-management" TargetMode="External"/><Relationship Id="rId78" Type="http://schemas.openxmlformats.org/officeDocument/2006/relationships/hyperlink" Target="https://www.thegef.org/project/strengthening-national-protected-areas-system-swaziland" TargetMode="External"/><Relationship Id="rId81" Type="http://schemas.openxmlformats.org/officeDocument/2006/relationships/hyperlink" Target="https://www.thegef.org/project/conserving-biodiversity-and-reducing-habitat-degradation-protected-areas-and-their-buffer" TargetMode="External"/><Relationship Id="rId86"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www.cbd.int/doc/world/fi/fi-nbsap-v3-p1-en.pdf" TargetMode="External"/><Relationship Id="rId18" Type="http://schemas.openxmlformats.org/officeDocument/2006/relationships/hyperlink" Target="https://www.cbd.int/doc/world/jp/jp-nbsap-v5-en.pdf" TargetMode="External"/><Relationship Id="rId26" Type="http://schemas.openxmlformats.org/officeDocument/2006/relationships/hyperlink" Target="https://www.cbd.int/doc/world/sb/sb-nbsap-v2-en.pdf" TargetMode="External"/><Relationship Id="rId39" Type="http://schemas.openxmlformats.org/officeDocument/2006/relationships/hyperlink" Target="https://www.cbd.int/doc/world/kp/kp-nbsap-v2-en.pdf" TargetMode="External"/><Relationship Id="rId21" Type="http://schemas.openxmlformats.org/officeDocument/2006/relationships/hyperlink" Target="https://www.cbd.int/doc/world/ma/ma-nbsap-v3-fr.pdf" TargetMode="External"/><Relationship Id="rId34" Type="http://schemas.openxmlformats.org/officeDocument/2006/relationships/hyperlink" Target="https://www.cbd.int/doc/world/by/by-nbsap-v2-p2-en.pdf" TargetMode="External"/><Relationship Id="rId42" Type="http://schemas.openxmlformats.org/officeDocument/2006/relationships/hyperlink" Target="https://www.cbd.int/doc/world/et/et-nbsap-v2-en.pdf" TargetMode="External"/><Relationship Id="rId47" Type="http://schemas.openxmlformats.org/officeDocument/2006/relationships/hyperlink" Target="https://www.cbd.int/doc/world/lr/lr-nbsap-v2-en.pdf" TargetMode="External"/><Relationship Id="rId50" Type="http://schemas.openxmlformats.org/officeDocument/2006/relationships/hyperlink" Target="https://www.cbd.int/doc/world/ml/ml-nbsap-v2-fr.pdf" TargetMode="External"/><Relationship Id="rId55" Type="http://schemas.openxmlformats.org/officeDocument/2006/relationships/hyperlink" Target="https://www.cbd.int/doc/world/nr/nr-nbsap-01-en.pdf" TargetMode="External"/><Relationship Id="rId63" Type="http://schemas.openxmlformats.org/officeDocument/2006/relationships/hyperlink" Target="https://www.cbd.int/doc/world/sz/sz-nbsap-v2-en.pdf" TargetMode="External"/><Relationship Id="rId68" Type="http://schemas.openxmlformats.org/officeDocument/2006/relationships/hyperlink" Target="https://www.cbd.int/doc/world/cn/cn-nbsap-v2-en.pdf" TargetMode="External"/><Relationship Id="rId7" Type="http://schemas.openxmlformats.org/officeDocument/2006/relationships/hyperlink" Target="https://www.cbd.int/doc/world/br/br-nbsap-v3-en.pdf" TargetMode="External"/><Relationship Id="rId71" Type="http://schemas.openxmlformats.org/officeDocument/2006/relationships/printerSettings" Target="../printerSettings/printerSettings4.bin"/><Relationship Id="rId2" Type="http://schemas.openxmlformats.org/officeDocument/2006/relationships/hyperlink" Target="https://www.cbd.int/doc/world/ag/ag-nbsap-01-en.pdf" TargetMode="External"/><Relationship Id="rId16" Type="http://schemas.openxmlformats.org/officeDocument/2006/relationships/hyperlink" Target="https://www.cbd.int/doc/world/gn/gn-nbsap-v2-fr.pdf" TargetMode="External"/><Relationship Id="rId29" Type="http://schemas.openxmlformats.org/officeDocument/2006/relationships/hyperlink" Target="https://www.cbd.int/doc/world/ua/ua-nbsap-v3-en.pdf" TargetMode="External"/><Relationship Id="rId1" Type="http://schemas.openxmlformats.org/officeDocument/2006/relationships/hyperlink" Target="https://www.cbd.int/doc/world/al/al-nbsap-v2-en.pdf" TargetMode="External"/><Relationship Id="rId6" Type="http://schemas.openxmlformats.org/officeDocument/2006/relationships/hyperlink" Target="https://www.cbd.int/doc/world/bj/bj-nbsap-v2-fr.pdf" TargetMode="External"/><Relationship Id="rId11" Type="http://schemas.openxmlformats.org/officeDocument/2006/relationships/hyperlink" Target="https://www.cbd.int/doc/world/dm/dm-nbsap-v2-en.pdf" TargetMode="External"/><Relationship Id="rId24" Type="http://schemas.openxmlformats.org/officeDocument/2006/relationships/hyperlink" Target="https://www.cbd.int/doc/world/ws/ws-nbsap-v2-en.pdf" TargetMode="External"/><Relationship Id="rId32" Type="http://schemas.openxmlformats.org/officeDocument/2006/relationships/hyperlink" Target="https://www.cbd.int/doc/world/af/af-nbsap-01-en.pdf" TargetMode="External"/><Relationship Id="rId37" Type="http://schemas.openxmlformats.org/officeDocument/2006/relationships/hyperlink" Target="https://www.cbd.int/doc/world/cv/cv-nbsap-v2-en.pdf" TargetMode="External"/><Relationship Id="rId40" Type="http://schemas.openxmlformats.org/officeDocument/2006/relationships/hyperlink" Target="https://www.cbd.int/doc/world/cd/cd-nbsap-v3-fr.pdf" TargetMode="External"/><Relationship Id="rId45" Type="http://schemas.openxmlformats.org/officeDocument/2006/relationships/hyperlink" Target="https://www.cbd.int/doc/world/ir/ir-nbsap-v2-en.pdf" TargetMode="External"/><Relationship Id="rId53" Type="http://schemas.openxmlformats.org/officeDocument/2006/relationships/hyperlink" Target="https://www.cbd.int/doc/world/me/me-nbsap-v2-me.pdf" TargetMode="External"/><Relationship Id="rId58" Type="http://schemas.openxmlformats.org/officeDocument/2006/relationships/hyperlink" Target="https://www.cbd.int/doc/world/pe/pe-nbsap-v2-es.pdf" TargetMode="External"/><Relationship Id="rId66" Type="http://schemas.openxmlformats.org/officeDocument/2006/relationships/hyperlink" Target="https://www.cbd.int/doc/world/zw/zw-nbsap-v2-en.pdf" TargetMode="External"/><Relationship Id="rId5" Type="http://schemas.openxmlformats.org/officeDocument/2006/relationships/hyperlink" Target="https://www.cbd.int/doc/world/be/be-nr-05-en.pdf" TargetMode="External"/><Relationship Id="rId15" Type="http://schemas.openxmlformats.org/officeDocument/2006/relationships/hyperlink" Target="https://www.cbd.int/doc/world/ge/ge-nr-05-en.pdf" TargetMode="External"/><Relationship Id="rId23" Type="http://schemas.openxmlformats.org/officeDocument/2006/relationships/hyperlink" Target="https://www.cbd.int/doc/world/ru/ru-nbsap-v2-en.pdf" TargetMode="External"/><Relationship Id="rId28" Type="http://schemas.openxmlformats.org/officeDocument/2006/relationships/hyperlink" Target="https://www.cbd.int/doc/world/se/se-nbsap-v3-en.pdf" TargetMode="External"/><Relationship Id="rId36" Type="http://schemas.openxmlformats.org/officeDocument/2006/relationships/hyperlink" Target="https://www.cbd.int/doc/world/bi/bi-nbsap-v2-p1-fr.pdf" TargetMode="External"/><Relationship Id="rId49" Type="http://schemas.openxmlformats.org/officeDocument/2006/relationships/hyperlink" Target="https://www.cbd.int/doc/world/my/my-nbsap-v2-en.pdf" TargetMode="External"/><Relationship Id="rId57" Type="http://schemas.openxmlformats.org/officeDocument/2006/relationships/hyperlink" Target="https://www.cbd.int/doc/world/py/py-nbsap-v2-es.pdf" TargetMode="External"/><Relationship Id="rId61" Type="http://schemas.openxmlformats.org/officeDocument/2006/relationships/hyperlink" Target="https://www.cbd.int/doc/world/so/so-nbsap-01-en.pdf" TargetMode="External"/><Relationship Id="rId10" Type="http://schemas.openxmlformats.org/officeDocument/2006/relationships/hyperlink" Target="https://www.cbd.int/doc/world/cg/cg-nbsap-v2-fr.pdf" TargetMode="External"/><Relationship Id="rId19" Type="http://schemas.openxmlformats.org/officeDocument/2006/relationships/hyperlink" Target="https://www.cbd.int/doc/world/jo/jo-nbsap-v2-en.pdf" TargetMode="External"/><Relationship Id="rId31" Type="http://schemas.openxmlformats.org/officeDocument/2006/relationships/hyperlink" Target="https://www.cbd.int/doc/world/vn/vn-nbsap-v3-en.pdf" TargetMode="External"/><Relationship Id="rId44" Type="http://schemas.openxmlformats.org/officeDocument/2006/relationships/hyperlink" Target="https://www.cbd.int/doc/world/gy/gy-nbsap-v3-en.pdf" TargetMode="External"/><Relationship Id="rId52" Type="http://schemas.openxmlformats.org/officeDocument/2006/relationships/hyperlink" Target="https://www.cbd.int/doc/world/mn/mn-nbsap-v2-en.pdf" TargetMode="External"/><Relationship Id="rId60" Type="http://schemas.openxmlformats.org/officeDocument/2006/relationships/hyperlink" Target="https://www.cbd.int/doc/world/rw/rw-nbsap-v2-en.pdf" TargetMode="External"/><Relationship Id="rId65" Type="http://schemas.openxmlformats.org/officeDocument/2006/relationships/hyperlink" Target="https://www.cbd.int/doc/world/ae/ae-nbsap-01-ar.pdf" TargetMode="External"/><Relationship Id="rId4" Type="http://schemas.openxmlformats.org/officeDocument/2006/relationships/hyperlink" Target="https://www.cbd.int/doc/world/az/az-nbsap-v2-en.pdf" TargetMode="External"/><Relationship Id="rId9" Type="http://schemas.openxmlformats.org/officeDocument/2006/relationships/hyperlink" Target="https://www.cbd.int/countries/targets/?country=ca" TargetMode="External"/><Relationship Id="rId14" Type="http://schemas.openxmlformats.org/officeDocument/2006/relationships/hyperlink" Target="https://www.cbd.int/doc/world/gm/gm-nbsap-v2-en.pdf" TargetMode="External"/><Relationship Id="rId22" Type="http://schemas.openxmlformats.org/officeDocument/2006/relationships/hyperlink" Target="https://www.cbd.int/doc/world/kr/kr-nbsap-v3-en.pdf" TargetMode="External"/><Relationship Id="rId27" Type="http://schemas.openxmlformats.org/officeDocument/2006/relationships/hyperlink" Target="https://www.cbd.int/doc/world/sd/sd-nbsap-v2-en.pdf" TargetMode="External"/><Relationship Id="rId30" Type="http://schemas.openxmlformats.org/officeDocument/2006/relationships/hyperlink" Target="https://www.cbd.int/doc/world/uy/uy-nbsap-v2-es.pdf" TargetMode="External"/><Relationship Id="rId35" Type="http://schemas.openxmlformats.org/officeDocument/2006/relationships/hyperlink" Target="https://www.cbd.int/doc/world/bw/bw-nbsap-v3-en.pdf" TargetMode="External"/><Relationship Id="rId43" Type="http://schemas.openxmlformats.org/officeDocument/2006/relationships/hyperlink" Target="https://www.cbd.int/doc/world/gh/gh-nbsap-v2-en.pdf" TargetMode="External"/><Relationship Id="rId48" Type="http://schemas.openxmlformats.org/officeDocument/2006/relationships/hyperlink" Target="https://www.cbd.int/doc/world/mg/mg-nbsap-v2-en.pdf" TargetMode="External"/><Relationship Id="rId56" Type="http://schemas.openxmlformats.org/officeDocument/2006/relationships/hyperlink" Target="https://www.cbd.int/doc/world/nu/nu-nbsap-v2-en.pdf" TargetMode="External"/><Relationship Id="rId64" Type="http://schemas.openxmlformats.org/officeDocument/2006/relationships/hyperlink" Target="https://www.cbd.int/doc/world/ug/ug-nbsap-v2-en.pdf" TargetMode="External"/><Relationship Id="rId69" Type="http://schemas.openxmlformats.org/officeDocument/2006/relationships/hyperlink" Target="https://www.cbd.int/doc/world/mu/mu-nbsap-v2-en.pdf" TargetMode="External"/><Relationship Id="rId8" Type="http://schemas.openxmlformats.org/officeDocument/2006/relationships/hyperlink" Target="https://www.cbd.int/doc/world/cu/cu-nbsap-v3-es.pdf" TargetMode="External"/><Relationship Id="rId51" Type="http://schemas.openxmlformats.org/officeDocument/2006/relationships/hyperlink" Target="https://www.cbd.int/doc/world/mt/mt-nbsap-01-en.pdf" TargetMode="External"/><Relationship Id="rId3" Type="http://schemas.openxmlformats.org/officeDocument/2006/relationships/hyperlink" Target="https://www.cbd.int/doc/world/ar/ar-nbsap-v2-es.pdf" TargetMode="External"/><Relationship Id="rId12" Type="http://schemas.openxmlformats.org/officeDocument/2006/relationships/hyperlink" Target="https://www.cbd.int/doc/world/er/er-nbsap-v2-en.pdf" TargetMode="External"/><Relationship Id="rId17" Type="http://schemas.openxmlformats.org/officeDocument/2006/relationships/hyperlink" Target="https://www.cbd.int/doc/world/jm/jm-nbsap-v2-en.pdf" TargetMode="External"/><Relationship Id="rId25" Type="http://schemas.openxmlformats.org/officeDocument/2006/relationships/hyperlink" Target="https://www.cbd.int/doc/world/sc/sc-nbsap-v2-en.pdf" TargetMode="External"/><Relationship Id="rId33" Type="http://schemas.openxmlformats.org/officeDocument/2006/relationships/hyperlink" Target="https://www.cbd.int/doc/world/dz/dz-nbsap-v2-fr.pdf" TargetMode="External"/><Relationship Id="rId38" Type="http://schemas.openxmlformats.org/officeDocument/2006/relationships/hyperlink" Target="https://www.cbd.int/doc/world/cr/cr-nbsap-v2-es.pdf" TargetMode="External"/><Relationship Id="rId46" Type="http://schemas.openxmlformats.org/officeDocument/2006/relationships/hyperlink" Target="https://www.cbd.int/doc/world/kg/kg-nbsap-v3-en.pdf" TargetMode="External"/><Relationship Id="rId59" Type="http://schemas.openxmlformats.org/officeDocument/2006/relationships/hyperlink" Target="https://www.cbd.int/doc/world/md/md-nbsap-v2-en.pdf" TargetMode="External"/><Relationship Id="rId67" Type="http://schemas.openxmlformats.org/officeDocument/2006/relationships/hyperlink" Target="https://www.cbd.int/doc/world/km/km-nbsap-v2-fr.pdf" TargetMode="External"/><Relationship Id="rId20" Type="http://schemas.openxmlformats.org/officeDocument/2006/relationships/hyperlink" Target="https://www.cbd.int/doc/world/mx/mx-nbsap-v2-es.pdf" TargetMode="External"/><Relationship Id="rId41" Type="http://schemas.openxmlformats.org/officeDocument/2006/relationships/hyperlink" Target="https://www.cbd.int/doc/world/eg/eg-nbsap-v2-en.pdf" TargetMode="External"/><Relationship Id="rId54" Type="http://schemas.openxmlformats.org/officeDocument/2006/relationships/hyperlink" Target="https://www.cbd.int/doc/world/mm/mm-nbsap-v2-en.pdf" TargetMode="External"/><Relationship Id="rId62" Type="http://schemas.openxmlformats.org/officeDocument/2006/relationships/hyperlink" Target="https://www.cbd.int/doc/world/za/za-nbsap-v2-en.pdf" TargetMode="External"/><Relationship Id="rId70" Type="http://schemas.openxmlformats.org/officeDocument/2006/relationships/hyperlink" Target="https://www.cbd.int/doc/world/gt/gt-nbsap-v2-e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19" sqref="A19"/>
    </sheetView>
  </sheetViews>
  <sheetFormatPr defaultRowHeight="15" x14ac:dyDescent="0.25"/>
  <cols>
    <col min="1" max="1" width="174.85546875" customWidth="1"/>
  </cols>
  <sheetData>
    <row r="1" spans="1:1" ht="18.75" x14ac:dyDescent="0.3">
      <c r="A1" s="92" t="s">
        <v>313</v>
      </c>
    </row>
    <row r="2" spans="1:1" x14ac:dyDescent="0.25">
      <c r="A2" s="20"/>
    </row>
    <row r="3" spans="1:1" s="176" customFormat="1" ht="60" x14ac:dyDescent="0.25">
      <c r="A3" s="175" t="s">
        <v>459</v>
      </c>
    </row>
    <row r="4" spans="1:1" s="176" customFormat="1" ht="58.5" customHeight="1" x14ac:dyDescent="0.25">
      <c r="A4" s="177" t="s">
        <v>453</v>
      </c>
    </row>
    <row r="5" spans="1:1" s="176" customFormat="1" ht="60" x14ac:dyDescent="0.25">
      <c r="A5" s="177" t="s">
        <v>454</v>
      </c>
    </row>
    <row r="6" spans="1:1" x14ac:dyDescent="0.25">
      <c r="A6" s="20"/>
    </row>
    <row r="7" spans="1:1" x14ac:dyDescent="0.25">
      <c r="A7" s="51" t="s">
        <v>455</v>
      </c>
    </row>
    <row r="8" spans="1:1" x14ac:dyDescent="0.25">
      <c r="A8" s="51" t="s">
        <v>432</v>
      </c>
    </row>
    <row r="9" spans="1:1" ht="30" x14ac:dyDescent="0.25">
      <c r="A9" s="20" t="s">
        <v>525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35" sqref="C35"/>
    </sheetView>
  </sheetViews>
  <sheetFormatPr defaultRowHeight="15" x14ac:dyDescent="0.25"/>
  <cols>
    <col min="1" max="1" width="46" customWidth="1"/>
    <col min="2" max="2" width="16.85546875" customWidth="1"/>
    <col min="3" max="3" width="17.5703125" customWidth="1"/>
  </cols>
  <sheetData>
    <row r="1" spans="1:3" ht="33" thickBot="1" x14ac:dyDescent="0.3">
      <c r="A1" s="41" t="s">
        <v>450</v>
      </c>
      <c r="B1" s="170" t="s">
        <v>280</v>
      </c>
      <c r="C1" s="170" t="s">
        <v>281</v>
      </c>
    </row>
    <row r="2" spans="1:3" x14ac:dyDescent="0.25">
      <c r="A2" s="42" t="s">
        <v>456</v>
      </c>
      <c r="B2" s="168">
        <f>'Priority Actions'!C47</f>
        <v>611943.2077767601</v>
      </c>
      <c r="C2" s="169">
        <f>B2/134918845</f>
        <v>4.5356392413288156E-3</v>
      </c>
    </row>
    <row r="3" spans="1:3" x14ac:dyDescent="0.25">
      <c r="A3" s="1" t="s">
        <v>447</v>
      </c>
      <c r="B3" s="168">
        <f>'GEF projects'!B65</f>
        <v>257216.93800000002</v>
      </c>
      <c r="C3" s="169">
        <f t="shared" ref="C3:C4" si="0">B3/134918845</f>
        <v>1.9064567147754638E-3</v>
      </c>
    </row>
    <row r="4" spans="1:3" x14ac:dyDescent="0.25">
      <c r="A4" s="20" t="s">
        <v>448</v>
      </c>
      <c r="B4" s="168">
        <f>NBSAPs!D73</f>
        <v>3003407.6424665675</v>
      </c>
      <c r="C4" s="169">
        <f t="shared" si="0"/>
        <v>2.2260846084670882E-2</v>
      </c>
    </row>
    <row r="5" spans="1:3" ht="15.75" thickBot="1" x14ac:dyDescent="0.3">
      <c r="A5" s="20"/>
      <c r="B5" s="43"/>
      <c r="C5" s="20"/>
    </row>
    <row r="6" spans="1:3" ht="15.75" thickBot="1" x14ac:dyDescent="0.3">
      <c r="A6" s="2" t="s">
        <v>451</v>
      </c>
      <c r="B6" s="171">
        <f>SUM(B2:B4)</f>
        <v>3872567.7882433273</v>
      </c>
      <c r="C6" s="172">
        <f>SUM(C2:C4)</f>
        <v>2.8702942040775163E-2</v>
      </c>
    </row>
    <row r="7" spans="1:3" ht="15.75" thickBot="1" x14ac:dyDescent="0.3">
      <c r="A7" s="48" t="s">
        <v>298</v>
      </c>
      <c r="B7" s="173"/>
      <c r="C7" s="169">
        <f>(19997486)/134918845</f>
        <v>0.1482186272792359</v>
      </c>
    </row>
    <row r="8" spans="1:3" ht="15.75" thickBot="1" x14ac:dyDescent="0.3">
      <c r="A8" s="4" t="s">
        <v>449</v>
      </c>
      <c r="B8" s="114"/>
      <c r="C8" s="174">
        <f>(19997486+B6)/134918845</f>
        <v>0.17692156932001105</v>
      </c>
    </row>
    <row r="9" spans="1:3" x14ac:dyDescent="0.25">
      <c r="A9" s="44"/>
      <c r="B9" s="30"/>
      <c r="C9" s="45"/>
    </row>
    <row r="10" spans="1:3" x14ac:dyDescent="0.25">
      <c r="B10" s="30"/>
    </row>
    <row r="11" spans="1:3" x14ac:dyDescent="0.25">
      <c r="B11"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opLeftCell="A34" zoomScaleNormal="100" workbookViewId="0">
      <selection activeCell="D49" sqref="D49"/>
    </sheetView>
  </sheetViews>
  <sheetFormatPr defaultRowHeight="15" x14ac:dyDescent="0.25"/>
  <cols>
    <col min="1" max="1" width="21.140625" style="104" customWidth="1"/>
    <col min="2" max="2" width="73.5703125" customWidth="1"/>
    <col min="3" max="3" width="13.42578125" style="30" customWidth="1"/>
    <col min="4" max="4" width="22.5703125" customWidth="1"/>
    <col min="5" max="5" width="4.7109375" customWidth="1"/>
  </cols>
  <sheetData>
    <row r="1" spans="1:4" x14ac:dyDescent="0.25">
      <c r="A1" s="209" t="s">
        <v>452</v>
      </c>
      <c r="B1" s="210"/>
      <c r="C1" s="31" t="s">
        <v>263</v>
      </c>
      <c r="D1" s="32"/>
    </row>
    <row r="2" spans="1:4" x14ac:dyDescent="0.25">
      <c r="A2" s="211"/>
      <c r="B2" s="212"/>
      <c r="C2" s="33" t="s">
        <v>264</v>
      </c>
      <c r="D2" s="34"/>
    </row>
    <row r="3" spans="1:4" x14ac:dyDescent="0.25">
      <c r="A3" s="211"/>
      <c r="B3" s="212"/>
      <c r="C3" s="33" t="s">
        <v>265</v>
      </c>
      <c r="D3" s="34"/>
    </row>
    <row r="4" spans="1:4" x14ac:dyDescent="0.25">
      <c r="A4" s="35"/>
      <c r="B4" s="36"/>
      <c r="C4" s="37" t="s">
        <v>266</v>
      </c>
      <c r="D4" s="38"/>
    </row>
    <row r="5" spans="1:4" ht="36" customHeight="1" thickBot="1" x14ac:dyDescent="0.3">
      <c r="A5" s="22" t="s">
        <v>255</v>
      </c>
      <c r="B5" s="22" t="s">
        <v>260</v>
      </c>
      <c r="C5" s="182" t="s">
        <v>460</v>
      </c>
      <c r="D5" s="182" t="s">
        <v>258</v>
      </c>
    </row>
    <row r="6" spans="1:4" ht="26.25" x14ac:dyDescent="0.25">
      <c r="A6" s="99" t="s">
        <v>122</v>
      </c>
      <c r="B6" s="94" t="s">
        <v>277</v>
      </c>
      <c r="C6" s="178">
        <f>7400-1170-1020</f>
        <v>5210</v>
      </c>
    </row>
    <row r="7" spans="1:4" ht="26.25" x14ac:dyDescent="0.25">
      <c r="A7" s="99" t="s">
        <v>127</v>
      </c>
      <c r="B7" s="94" t="s">
        <v>284</v>
      </c>
      <c r="C7" s="179">
        <v>70000</v>
      </c>
      <c r="D7" s="94" t="s">
        <v>424</v>
      </c>
    </row>
    <row r="8" spans="1:4" ht="64.5" x14ac:dyDescent="0.25">
      <c r="A8" s="99" t="s">
        <v>245</v>
      </c>
      <c r="B8" s="94" t="s">
        <v>286</v>
      </c>
      <c r="C8" s="179">
        <f>10326.19+5000</f>
        <v>15326.19</v>
      </c>
      <c r="D8" s="93"/>
    </row>
    <row r="9" spans="1:4" x14ac:dyDescent="0.25">
      <c r="A9" s="99" t="s">
        <v>27</v>
      </c>
      <c r="B9" s="98" t="s">
        <v>285</v>
      </c>
      <c r="C9" s="178">
        <v>994</v>
      </c>
      <c r="D9" s="98" t="s">
        <v>458</v>
      </c>
    </row>
    <row r="10" spans="1:4" ht="26.25" x14ac:dyDescent="0.25">
      <c r="A10" s="99" t="s">
        <v>21</v>
      </c>
      <c r="B10" s="99" t="s">
        <v>521</v>
      </c>
      <c r="C10" s="179">
        <v>20594.561532149011</v>
      </c>
      <c r="D10" s="98" t="s">
        <v>522</v>
      </c>
    </row>
    <row r="11" spans="1:4" ht="26.25" x14ac:dyDescent="0.25">
      <c r="A11" s="99" t="s">
        <v>114</v>
      </c>
      <c r="B11" s="94" t="s">
        <v>341</v>
      </c>
      <c r="C11" s="179">
        <f>381.45-130</f>
        <v>251.45</v>
      </c>
      <c r="D11" s="98" t="s">
        <v>321</v>
      </c>
    </row>
    <row r="12" spans="1:4" x14ac:dyDescent="0.25">
      <c r="A12" s="99" t="s">
        <v>150</v>
      </c>
      <c r="B12" s="98" t="s">
        <v>287</v>
      </c>
      <c r="C12" s="179">
        <v>258.18049999999999</v>
      </c>
      <c r="D12" s="93"/>
    </row>
    <row r="13" spans="1:4" ht="39" x14ac:dyDescent="0.25">
      <c r="A13" s="99" t="s">
        <v>109</v>
      </c>
      <c r="B13" s="94" t="s">
        <v>323</v>
      </c>
      <c r="C13" s="179">
        <v>6798.8880000000008</v>
      </c>
      <c r="D13" s="93"/>
    </row>
    <row r="14" spans="1:4" ht="26.25" x14ac:dyDescent="0.25">
      <c r="A14" s="99" t="s">
        <v>199</v>
      </c>
      <c r="B14" s="94" t="s">
        <v>282</v>
      </c>
      <c r="C14" s="179">
        <v>35164.126499999998</v>
      </c>
      <c r="D14" s="93"/>
    </row>
    <row r="15" spans="1:4" x14ac:dyDescent="0.25">
      <c r="A15" s="99" t="s">
        <v>157</v>
      </c>
      <c r="B15" s="98" t="s">
        <v>288</v>
      </c>
      <c r="C15" s="179">
        <v>2000</v>
      </c>
      <c r="D15" s="93"/>
    </row>
    <row r="16" spans="1:4" ht="26.25" x14ac:dyDescent="0.25">
      <c r="A16" s="99" t="s">
        <v>194</v>
      </c>
      <c r="B16" s="94" t="s">
        <v>289</v>
      </c>
      <c r="C16" s="179">
        <v>6492.76</v>
      </c>
      <c r="D16" s="93"/>
    </row>
    <row r="17" spans="1:5" ht="26.25" x14ac:dyDescent="0.25">
      <c r="A17" s="99" t="s">
        <v>13</v>
      </c>
      <c r="B17" s="94" t="s">
        <v>342</v>
      </c>
      <c r="C17" s="179">
        <v>20449</v>
      </c>
      <c r="D17" s="93"/>
    </row>
    <row r="18" spans="1:5" x14ac:dyDescent="0.25">
      <c r="A18" s="99" t="s">
        <v>196</v>
      </c>
      <c r="B18" s="98" t="s">
        <v>324</v>
      </c>
      <c r="C18" s="179">
        <v>200</v>
      </c>
      <c r="D18" s="93"/>
    </row>
    <row r="19" spans="1:5" x14ac:dyDescent="0.25">
      <c r="A19" s="99" t="s">
        <v>239</v>
      </c>
      <c r="B19" s="98" t="s">
        <v>337</v>
      </c>
      <c r="C19" s="179">
        <v>796.024</v>
      </c>
      <c r="D19" s="93"/>
    </row>
    <row r="20" spans="1:5" ht="26.25" x14ac:dyDescent="0.25">
      <c r="A20" s="99" t="s">
        <v>80</v>
      </c>
      <c r="B20" s="94" t="s">
        <v>271</v>
      </c>
      <c r="C20" s="179">
        <v>368</v>
      </c>
      <c r="D20" s="93"/>
    </row>
    <row r="21" spans="1:5" x14ac:dyDescent="0.25">
      <c r="A21" s="99" t="s">
        <v>197</v>
      </c>
      <c r="B21" s="98" t="s">
        <v>276</v>
      </c>
      <c r="C21" s="179">
        <v>145.16000000000003</v>
      </c>
      <c r="D21" s="93"/>
    </row>
    <row r="22" spans="1:5" ht="51.75" x14ac:dyDescent="0.25">
      <c r="A22" s="99" t="s">
        <v>151</v>
      </c>
      <c r="B22" s="94" t="s">
        <v>343</v>
      </c>
      <c r="C22" s="180">
        <f>156.54+2939.43</f>
        <v>3095.97</v>
      </c>
      <c r="D22" s="93"/>
    </row>
    <row r="23" spans="1:5" ht="26.25" x14ac:dyDescent="0.25">
      <c r="A23" s="99" t="s">
        <v>23</v>
      </c>
      <c r="B23" s="94" t="s">
        <v>290</v>
      </c>
      <c r="C23" s="178">
        <v>5748.4800000000005</v>
      </c>
      <c r="D23" s="93"/>
    </row>
    <row r="24" spans="1:5" ht="26.25" x14ac:dyDescent="0.25">
      <c r="A24" s="99" t="s">
        <v>141</v>
      </c>
      <c r="B24" s="94" t="s">
        <v>346</v>
      </c>
      <c r="C24" s="179">
        <f>560-160</f>
        <v>400</v>
      </c>
      <c r="D24" s="93"/>
    </row>
    <row r="25" spans="1:5" ht="64.5" x14ac:dyDescent="0.25">
      <c r="A25" s="99" t="s">
        <v>5</v>
      </c>
      <c r="B25" s="94" t="s">
        <v>524</v>
      </c>
      <c r="C25" s="178">
        <v>24605.718894610967</v>
      </c>
      <c r="D25" s="98" t="s">
        <v>523</v>
      </c>
    </row>
    <row r="26" spans="1:5" x14ac:dyDescent="0.25">
      <c r="A26" s="99" t="s">
        <v>205</v>
      </c>
      <c r="B26" s="98" t="s">
        <v>327</v>
      </c>
      <c r="C26" s="179">
        <v>104887.32999999999</v>
      </c>
      <c r="D26" s="93"/>
    </row>
    <row r="27" spans="1:5" ht="26.25" x14ac:dyDescent="0.25">
      <c r="A27" s="99" t="s">
        <v>105</v>
      </c>
      <c r="B27" s="94" t="s">
        <v>270</v>
      </c>
      <c r="C27" s="179">
        <v>1792.0920000000001</v>
      </c>
      <c r="D27" s="93"/>
    </row>
    <row r="28" spans="1:5" ht="26.25" x14ac:dyDescent="0.25">
      <c r="A28" s="99" t="s">
        <v>49</v>
      </c>
      <c r="B28" s="94" t="s">
        <v>291</v>
      </c>
      <c r="C28" s="179">
        <f>25000</f>
        <v>25000</v>
      </c>
      <c r="D28" s="93"/>
      <c r="E28" s="93"/>
    </row>
    <row r="29" spans="1:5" ht="26.25" x14ac:dyDescent="0.25">
      <c r="A29" s="99" t="s">
        <v>35</v>
      </c>
      <c r="B29" s="94" t="s">
        <v>328</v>
      </c>
      <c r="C29" s="179">
        <v>4790.29</v>
      </c>
      <c r="D29" s="93"/>
    </row>
    <row r="30" spans="1:5" x14ac:dyDescent="0.25">
      <c r="A30" s="99" t="s">
        <v>171</v>
      </c>
      <c r="B30" s="98" t="s">
        <v>349</v>
      </c>
      <c r="C30" s="179">
        <v>1932.33</v>
      </c>
      <c r="D30" s="93"/>
    </row>
    <row r="31" spans="1:5" x14ac:dyDescent="0.25">
      <c r="A31" s="99" t="s">
        <v>62</v>
      </c>
      <c r="B31" s="98" t="s">
        <v>358</v>
      </c>
      <c r="C31" s="178">
        <v>63</v>
      </c>
      <c r="D31" s="98" t="s">
        <v>321</v>
      </c>
    </row>
    <row r="32" spans="1:5" x14ac:dyDescent="0.25">
      <c r="A32" s="99" t="s">
        <v>56</v>
      </c>
      <c r="B32" s="98" t="s">
        <v>332</v>
      </c>
      <c r="C32" s="179">
        <v>4000</v>
      </c>
      <c r="D32" s="93"/>
    </row>
    <row r="33" spans="1:4" x14ac:dyDescent="0.25">
      <c r="A33" s="99" t="s">
        <v>18</v>
      </c>
      <c r="B33" s="98" t="s">
        <v>330</v>
      </c>
      <c r="C33" s="178">
        <f>1500-1318</f>
        <v>182</v>
      </c>
      <c r="D33" s="93"/>
    </row>
    <row r="34" spans="1:4" ht="51.75" x14ac:dyDescent="0.25">
      <c r="A34" s="99" t="s">
        <v>112</v>
      </c>
      <c r="B34" s="94" t="s">
        <v>356</v>
      </c>
      <c r="C34" s="179">
        <v>1307.1040000000003</v>
      </c>
      <c r="D34" s="93"/>
    </row>
    <row r="35" spans="1:4" ht="39" x14ac:dyDescent="0.25">
      <c r="A35" s="99" t="s">
        <v>155</v>
      </c>
      <c r="B35" s="94" t="s">
        <v>320</v>
      </c>
      <c r="C35" s="178">
        <v>39</v>
      </c>
      <c r="D35" s="98" t="s">
        <v>321</v>
      </c>
    </row>
    <row r="36" spans="1:4" ht="26.25" x14ac:dyDescent="0.25">
      <c r="A36" s="99" t="s">
        <v>198</v>
      </c>
      <c r="B36" s="94" t="s">
        <v>312</v>
      </c>
      <c r="C36" s="179">
        <v>110939.5</v>
      </c>
      <c r="D36" s="93"/>
    </row>
    <row r="37" spans="1:4" ht="26.25" x14ac:dyDescent="0.25">
      <c r="A37" s="99" t="s">
        <v>215</v>
      </c>
      <c r="B37" s="94" t="s">
        <v>269</v>
      </c>
      <c r="C37" s="179">
        <v>176.18831999999998</v>
      </c>
      <c r="D37" s="93"/>
    </row>
    <row r="38" spans="1:4" x14ac:dyDescent="0.25">
      <c r="A38" s="99" t="s">
        <v>192</v>
      </c>
      <c r="B38" s="98" t="s">
        <v>261</v>
      </c>
      <c r="C38" s="178">
        <v>1000</v>
      </c>
      <c r="D38" s="98" t="s">
        <v>321</v>
      </c>
    </row>
    <row r="39" spans="1:4" x14ac:dyDescent="0.25">
      <c r="A39" s="99" t="s">
        <v>14</v>
      </c>
      <c r="B39" s="98" t="s">
        <v>293</v>
      </c>
      <c r="C39" s="178">
        <v>6000</v>
      </c>
      <c r="D39" s="93"/>
    </row>
    <row r="40" spans="1:4" ht="51.75" x14ac:dyDescent="0.25">
      <c r="A40" s="99" t="s">
        <v>66</v>
      </c>
      <c r="B40" s="94" t="s">
        <v>431</v>
      </c>
      <c r="C40" s="178">
        <v>1416.34303</v>
      </c>
    </row>
    <row r="41" spans="1:4" x14ac:dyDescent="0.25">
      <c r="A41" s="99" t="s">
        <v>44</v>
      </c>
      <c r="B41" s="98" t="s">
        <v>268</v>
      </c>
      <c r="C41" s="179">
        <v>65969.37000000001</v>
      </c>
    </row>
    <row r="42" spans="1:4" x14ac:dyDescent="0.25">
      <c r="A42" s="99" t="s">
        <v>24</v>
      </c>
      <c r="B42" s="98" t="s">
        <v>326</v>
      </c>
      <c r="C42" s="179">
        <v>19670.004999999997</v>
      </c>
    </row>
    <row r="43" spans="1:4" ht="51.75" x14ac:dyDescent="0.25">
      <c r="A43" s="99" t="s">
        <v>126</v>
      </c>
      <c r="B43" s="94" t="s">
        <v>357</v>
      </c>
      <c r="C43" s="179">
        <v>34750</v>
      </c>
    </row>
    <row r="44" spans="1:4" ht="26.25" x14ac:dyDescent="0.25">
      <c r="A44" s="99" t="s">
        <v>51</v>
      </c>
      <c r="B44" s="94" t="s">
        <v>331</v>
      </c>
      <c r="C44" s="179">
        <v>3374.54</v>
      </c>
    </row>
    <row r="45" spans="1:4" ht="26.25" x14ac:dyDescent="0.25">
      <c r="A45" s="181" t="s">
        <v>186</v>
      </c>
      <c r="B45" s="23" t="s">
        <v>354</v>
      </c>
      <c r="C45" s="179">
        <v>5755.6059999999998</v>
      </c>
    </row>
    <row r="46" spans="1:4" ht="15.75" thickBot="1" x14ac:dyDescent="0.3">
      <c r="B46" s="23"/>
    </row>
    <row r="47" spans="1:4" ht="15.75" thickBot="1" x14ac:dyDescent="0.3">
      <c r="B47" s="39" t="s">
        <v>267</v>
      </c>
      <c r="C47" s="40">
        <f>SUM(C6:C45)</f>
        <v>611943.2077767601</v>
      </c>
    </row>
    <row r="50" spans="1:2" ht="30" x14ac:dyDescent="0.25">
      <c r="A50" s="26"/>
      <c r="B50" s="21" t="s">
        <v>429</v>
      </c>
    </row>
    <row r="51" spans="1:2" ht="15.75" thickBot="1" x14ac:dyDescent="0.3">
      <c r="A51" s="27" t="s">
        <v>255</v>
      </c>
      <c r="B51" s="25" t="s">
        <v>260</v>
      </c>
    </row>
    <row r="52" spans="1:2" ht="26.25" x14ac:dyDescent="0.25">
      <c r="A52" s="104" t="s">
        <v>15</v>
      </c>
      <c r="B52" s="99" t="s">
        <v>317</v>
      </c>
    </row>
    <row r="53" spans="1:2" ht="26.25" x14ac:dyDescent="0.25">
      <c r="A53" s="104" t="s">
        <v>55</v>
      </c>
      <c r="B53" s="99" t="s">
        <v>318</v>
      </c>
    </row>
    <row r="54" spans="1:2" ht="39" x14ac:dyDescent="0.25">
      <c r="A54" s="104" t="s">
        <v>91</v>
      </c>
      <c r="B54" s="99" t="s">
        <v>319</v>
      </c>
    </row>
    <row r="55" spans="1:2" x14ac:dyDescent="0.25">
      <c r="A55" s="104" t="s">
        <v>31</v>
      </c>
      <c r="B55" s="158" t="s">
        <v>278</v>
      </c>
    </row>
    <row r="56" spans="1:2" x14ac:dyDescent="0.25">
      <c r="A56" s="104" t="s">
        <v>29</v>
      </c>
      <c r="B56" s="147" t="s">
        <v>322</v>
      </c>
    </row>
    <row r="57" spans="1:2" ht="39" x14ac:dyDescent="0.25">
      <c r="A57" s="104" t="s">
        <v>18</v>
      </c>
      <c r="B57" s="99" t="s">
        <v>329</v>
      </c>
    </row>
    <row r="58" spans="1:2" ht="39" x14ac:dyDescent="0.25">
      <c r="A58" s="103" t="s">
        <v>246</v>
      </c>
      <c r="B58" s="99" t="s">
        <v>333</v>
      </c>
    </row>
    <row r="59" spans="1:2" ht="26.25" x14ac:dyDescent="0.25">
      <c r="A59" s="104" t="s">
        <v>335</v>
      </c>
      <c r="B59" s="99" t="s">
        <v>334</v>
      </c>
    </row>
    <row r="60" spans="1:2" ht="26.25" x14ac:dyDescent="0.25">
      <c r="A60" s="104" t="s">
        <v>19</v>
      </c>
      <c r="B60" s="99" t="s">
        <v>336</v>
      </c>
    </row>
    <row r="61" spans="1:2" ht="26.25" x14ac:dyDescent="0.25">
      <c r="A61" s="104" t="s">
        <v>213</v>
      </c>
      <c r="B61" s="99" t="s">
        <v>338</v>
      </c>
    </row>
    <row r="62" spans="1:2" x14ac:dyDescent="0.25">
      <c r="A62" s="104" t="s">
        <v>172</v>
      </c>
      <c r="B62" s="99" t="s">
        <v>339</v>
      </c>
    </row>
    <row r="63" spans="1:2" ht="26.25" x14ac:dyDescent="0.25">
      <c r="A63" s="104" t="s">
        <v>41</v>
      </c>
      <c r="B63" s="99" t="s">
        <v>340</v>
      </c>
    </row>
    <row r="64" spans="1:2" x14ac:dyDescent="0.25">
      <c r="A64" s="104" t="s">
        <v>157</v>
      </c>
      <c r="B64" s="99" t="s">
        <v>283</v>
      </c>
    </row>
    <row r="65" spans="1:2" ht="26.25" x14ac:dyDescent="0.25">
      <c r="A65" s="104" t="s">
        <v>20</v>
      </c>
      <c r="B65" s="99" t="s">
        <v>344</v>
      </c>
    </row>
    <row r="66" spans="1:2" ht="51" x14ac:dyDescent="0.25">
      <c r="A66" s="104" t="s">
        <v>94</v>
      </c>
      <c r="B66" s="159" t="s">
        <v>345</v>
      </c>
    </row>
    <row r="67" spans="1:2" ht="26.25" x14ac:dyDescent="0.25">
      <c r="A67" s="104" t="s">
        <v>79</v>
      </c>
      <c r="B67" s="160" t="s">
        <v>347</v>
      </c>
    </row>
    <row r="68" spans="1:2" ht="26.25" x14ac:dyDescent="0.25">
      <c r="A68" s="104" t="s">
        <v>49</v>
      </c>
      <c r="B68" s="99" t="s">
        <v>292</v>
      </c>
    </row>
    <row r="69" spans="1:2" x14ac:dyDescent="0.25">
      <c r="A69" s="104" t="s">
        <v>87</v>
      </c>
      <c r="B69" s="99" t="s">
        <v>348</v>
      </c>
    </row>
    <row r="70" spans="1:2" x14ac:dyDescent="0.25">
      <c r="A70" s="102" t="s">
        <v>72</v>
      </c>
      <c r="B70" s="99" t="s">
        <v>350</v>
      </c>
    </row>
    <row r="71" spans="1:2" x14ac:dyDescent="0.25">
      <c r="A71" s="103" t="s">
        <v>119</v>
      </c>
      <c r="B71" s="99" t="s">
        <v>351</v>
      </c>
    </row>
    <row r="72" spans="1:2" x14ac:dyDescent="0.25">
      <c r="A72" s="104" t="s">
        <v>17</v>
      </c>
      <c r="B72" s="99" t="s">
        <v>352</v>
      </c>
    </row>
    <row r="73" spans="1:2" x14ac:dyDescent="0.25">
      <c r="A73" s="104" t="s">
        <v>26</v>
      </c>
      <c r="B73" s="94" t="s">
        <v>275</v>
      </c>
    </row>
    <row r="74" spans="1:2" x14ac:dyDescent="0.25">
      <c r="A74" s="104" t="s">
        <v>237</v>
      </c>
      <c r="B74" s="98" t="s">
        <v>355</v>
      </c>
    </row>
    <row r="75" spans="1:2" x14ac:dyDescent="0.25">
      <c r="A75" s="104" t="s">
        <v>273</v>
      </c>
      <c r="B75" s="98" t="s">
        <v>274</v>
      </c>
    </row>
    <row r="76" spans="1:2" ht="26.25" x14ac:dyDescent="0.25">
      <c r="A76" s="104" t="s">
        <v>73</v>
      </c>
      <c r="B76" s="94" t="s">
        <v>272</v>
      </c>
    </row>
    <row r="77" spans="1:2" ht="39" x14ac:dyDescent="0.25">
      <c r="A77" s="104" t="s">
        <v>138</v>
      </c>
      <c r="B77" s="94" t="s">
        <v>262</v>
      </c>
    </row>
    <row r="78" spans="1:2" ht="26.25" x14ac:dyDescent="0.25">
      <c r="A78" s="29" t="s">
        <v>192</v>
      </c>
      <c r="B78" s="94" t="s">
        <v>359</v>
      </c>
    </row>
    <row r="79" spans="1:2" ht="26.25" x14ac:dyDescent="0.25">
      <c r="A79" s="28" t="s">
        <v>152</v>
      </c>
      <c r="B79" s="99" t="s">
        <v>259</v>
      </c>
    </row>
    <row r="82" spans="1:4" ht="30" x14ac:dyDescent="0.25">
      <c r="A82" s="161"/>
      <c r="B82" s="21" t="s">
        <v>446</v>
      </c>
    </row>
    <row r="83" spans="1:4" ht="15.75" thickBot="1" x14ac:dyDescent="0.3">
      <c r="A83" s="22" t="s">
        <v>255</v>
      </c>
      <c r="B83" s="22" t="s">
        <v>260</v>
      </c>
      <c r="C83" s="162" t="s">
        <v>430</v>
      </c>
      <c r="D83" s="162"/>
    </row>
    <row r="84" spans="1:4" x14ac:dyDescent="0.25">
      <c r="A84" s="29" t="s">
        <v>121</v>
      </c>
      <c r="B84" s="98" t="s">
        <v>311</v>
      </c>
      <c r="C84" s="139" t="s">
        <v>316</v>
      </c>
      <c r="D84" s="23"/>
    </row>
    <row r="85" spans="1:4" ht="24.75" x14ac:dyDescent="0.25">
      <c r="A85" s="29" t="s">
        <v>115</v>
      </c>
      <c r="B85" s="24" t="s">
        <v>427</v>
      </c>
      <c r="C85" s="139" t="s">
        <v>426</v>
      </c>
      <c r="D85" s="23"/>
    </row>
    <row r="86" spans="1:4" ht="26.25" x14ac:dyDescent="0.25">
      <c r="A86" s="29" t="s">
        <v>103</v>
      </c>
      <c r="B86" s="94" t="s">
        <v>325</v>
      </c>
      <c r="C86" s="139" t="s">
        <v>279</v>
      </c>
      <c r="D86" s="23"/>
    </row>
    <row r="87" spans="1:4" ht="39" x14ac:dyDescent="0.25">
      <c r="A87" s="104" t="s">
        <v>110</v>
      </c>
      <c r="B87" s="23" t="s">
        <v>444</v>
      </c>
      <c r="C87" s="139" t="s">
        <v>445</v>
      </c>
      <c r="D87" s="23"/>
    </row>
    <row r="88" spans="1:4" ht="30" x14ac:dyDescent="0.25">
      <c r="A88" s="29" t="s">
        <v>4</v>
      </c>
      <c r="B88" s="94" t="s">
        <v>428</v>
      </c>
      <c r="C88" s="139" t="s">
        <v>353</v>
      </c>
      <c r="D88" s="23"/>
    </row>
  </sheetData>
  <sortState ref="A6:D47">
    <sortCondition ref="A6:A47"/>
  </sortState>
  <mergeCells count="1">
    <mergeCell ref="A1:B3"/>
  </mergeCells>
  <hyperlinks>
    <hyperlink ref="C1" r:id="rId1"/>
    <hyperlink ref="C2" r:id="rId2"/>
    <hyperlink ref="C3" r:id="rId3"/>
    <hyperlink ref="C4" r:id="rId4"/>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election activeCell="M24" sqref="M24"/>
    </sheetView>
  </sheetViews>
  <sheetFormatPr defaultRowHeight="15" x14ac:dyDescent="0.25"/>
  <cols>
    <col min="1" max="1" width="23.140625" style="51" customWidth="1"/>
    <col min="2" max="2" width="12.7109375" style="43" customWidth="1"/>
    <col min="3" max="3" width="5.5703125" style="114" customWidth="1"/>
    <col min="4" max="11" width="5.5703125" style="20" customWidth="1"/>
    <col min="12" max="12" width="34.28515625" style="23" customWidth="1"/>
    <col min="13" max="13" width="21.7109375" style="205" customWidth="1"/>
    <col min="14" max="16384" width="9.140625" style="20"/>
  </cols>
  <sheetData>
    <row r="1" spans="1:14" ht="48" thickBot="1" x14ac:dyDescent="0.3">
      <c r="A1" s="50" t="s">
        <v>255</v>
      </c>
      <c r="B1" s="58" t="s">
        <v>457</v>
      </c>
      <c r="C1" s="119" t="s">
        <v>256</v>
      </c>
      <c r="D1" s="53"/>
      <c r="E1" s="53"/>
      <c r="F1" s="53"/>
      <c r="G1" s="53"/>
      <c r="H1" s="53"/>
      <c r="I1" s="53"/>
      <c r="J1" s="53"/>
      <c r="K1" s="53"/>
      <c r="L1" s="142" t="s">
        <v>257</v>
      </c>
      <c r="M1" s="19" t="s">
        <v>258</v>
      </c>
    </row>
    <row r="2" spans="1:14" x14ac:dyDescent="0.25">
      <c r="A2" s="151" t="s">
        <v>246</v>
      </c>
      <c r="B2" s="123">
        <v>12281.93</v>
      </c>
      <c r="C2" s="128">
        <v>4839</v>
      </c>
      <c r="D2" s="46"/>
      <c r="E2" s="46"/>
      <c r="F2" s="46"/>
      <c r="G2" s="46"/>
      <c r="H2" s="46"/>
      <c r="I2" s="46"/>
      <c r="J2" s="46"/>
      <c r="K2" s="46"/>
      <c r="L2" s="143" t="s">
        <v>294</v>
      </c>
      <c r="M2" s="202"/>
    </row>
    <row r="3" spans="1:14" x14ac:dyDescent="0.25">
      <c r="A3" s="125" t="s">
        <v>100</v>
      </c>
      <c r="B3" s="123">
        <v>9050</v>
      </c>
      <c r="C3" s="121">
        <v>4589</v>
      </c>
      <c r="D3" s="46"/>
      <c r="E3" s="46"/>
      <c r="F3" s="46"/>
      <c r="G3" s="46"/>
      <c r="H3" s="46"/>
      <c r="I3" s="46"/>
      <c r="J3" s="46"/>
      <c r="K3" s="46"/>
      <c r="L3" s="143" t="s">
        <v>294</v>
      </c>
      <c r="M3" s="44"/>
      <c r="N3" s="118"/>
    </row>
    <row r="4" spans="1:14" x14ac:dyDescent="0.25">
      <c r="A4" s="125" t="s">
        <v>217</v>
      </c>
      <c r="B4" s="123">
        <v>30.35</v>
      </c>
      <c r="C4" s="121">
        <v>9402</v>
      </c>
      <c r="D4" s="47"/>
      <c r="E4" s="47"/>
      <c r="F4" s="47"/>
      <c r="G4" s="47"/>
      <c r="H4" s="47"/>
      <c r="I4" s="47"/>
      <c r="J4" s="47"/>
      <c r="K4" s="47"/>
      <c r="L4" s="144" t="s">
        <v>295</v>
      </c>
      <c r="M4" s="44"/>
      <c r="N4" s="118"/>
    </row>
    <row r="5" spans="1:14" x14ac:dyDescent="0.25">
      <c r="A5" s="125" t="s">
        <v>122</v>
      </c>
      <c r="B5" s="154">
        <v>1020</v>
      </c>
      <c r="C5" s="121">
        <v>5099</v>
      </c>
      <c r="D5" s="46"/>
      <c r="E5" s="46"/>
      <c r="F5" s="46"/>
      <c r="G5" s="46"/>
      <c r="H5" s="46"/>
      <c r="I5" s="46"/>
      <c r="J5" s="46"/>
      <c r="K5" s="46"/>
      <c r="L5" s="143" t="s">
        <v>294</v>
      </c>
      <c r="M5" s="44"/>
      <c r="N5" s="118"/>
    </row>
    <row r="6" spans="1:14" x14ac:dyDescent="0.25">
      <c r="A6" s="141" t="s">
        <v>26</v>
      </c>
      <c r="B6" s="153">
        <v>200</v>
      </c>
      <c r="C6" s="121">
        <v>4468</v>
      </c>
      <c r="D6" s="118"/>
      <c r="E6" s="46"/>
      <c r="F6" s="46"/>
      <c r="G6" s="46"/>
      <c r="H6" s="46"/>
      <c r="I6" s="46"/>
      <c r="J6" s="46"/>
      <c r="K6" s="46"/>
      <c r="L6" s="145" t="s">
        <v>412</v>
      </c>
      <c r="M6" s="44"/>
      <c r="N6" s="118"/>
    </row>
    <row r="7" spans="1:14" x14ac:dyDescent="0.25">
      <c r="A7" s="141" t="s">
        <v>125</v>
      </c>
      <c r="B7" s="133">
        <v>80</v>
      </c>
      <c r="C7" s="121">
        <v>9383</v>
      </c>
      <c r="D7" s="118"/>
      <c r="E7" s="118"/>
      <c r="F7" s="118"/>
      <c r="G7" s="118"/>
      <c r="H7" s="118"/>
      <c r="I7" s="46"/>
      <c r="J7" s="46"/>
      <c r="K7" s="46"/>
      <c r="L7" s="146" t="s">
        <v>413</v>
      </c>
      <c r="M7" s="44"/>
      <c r="N7" s="118"/>
    </row>
    <row r="8" spans="1:14" x14ac:dyDescent="0.25">
      <c r="A8" s="125" t="s">
        <v>237</v>
      </c>
      <c r="B8" s="154">
        <f>'All Country Data'!J30</f>
        <v>2256</v>
      </c>
      <c r="C8" s="121">
        <v>6990</v>
      </c>
      <c r="D8" s="124"/>
      <c r="F8" s="46"/>
      <c r="G8" s="46"/>
      <c r="H8" s="46"/>
      <c r="I8" s="46"/>
      <c r="J8" s="46"/>
      <c r="K8" s="46"/>
      <c r="L8" s="143" t="s">
        <v>294</v>
      </c>
      <c r="M8" s="44"/>
      <c r="N8" s="118"/>
    </row>
    <row r="9" spans="1:14" x14ac:dyDescent="0.25">
      <c r="A9" s="125" t="s">
        <v>127</v>
      </c>
      <c r="B9" s="154">
        <v>650</v>
      </c>
      <c r="C9" s="121">
        <v>4834</v>
      </c>
      <c r="D9" s="121">
        <v>4859</v>
      </c>
      <c r="E9" s="118"/>
      <c r="F9" s="46"/>
      <c r="G9" s="46"/>
      <c r="H9" s="46"/>
      <c r="I9" s="46"/>
      <c r="J9" s="46"/>
      <c r="K9" s="46"/>
      <c r="L9" s="144" t="s">
        <v>414</v>
      </c>
      <c r="M9" s="203" t="s">
        <v>425</v>
      </c>
      <c r="N9" s="118"/>
    </row>
    <row r="10" spans="1:14" x14ac:dyDescent="0.25">
      <c r="A10" s="125" t="s">
        <v>245</v>
      </c>
      <c r="B10" s="154">
        <v>520</v>
      </c>
      <c r="C10" s="121">
        <v>5210</v>
      </c>
      <c r="D10" s="121">
        <v>4800</v>
      </c>
      <c r="E10" s="54"/>
      <c r="F10" s="118"/>
      <c r="G10" s="122"/>
      <c r="H10" s="54"/>
      <c r="I10" s="54"/>
      <c r="J10" s="54"/>
      <c r="K10" s="54"/>
      <c r="L10" s="144" t="s">
        <v>296</v>
      </c>
      <c r="M10" s="44"/>
      <c r="N10" s="118"/>
    </row>
    <row r="11" spans="1:14" ht="25.5" x14ac:dyDescent="0.25">
      <c r="A11" s="125" t="s">
        <v>29</v>
      </c>
      <c r="B11" s="154">
        <f>24430+1320+12100+400+2162+6000+4000+1000+5</f>
        <v>51417</v>
      </c>
      <c r="C11" s="127">
        <v>9403</v>
      </c>
      <c r="D11" s="121">
        <v>4896</v>
      </c>
      <c r="E11" s="121">
        <v>4868</v>
      </c>
      <c r="F11" s="121">
        <v>4811</v>
      </c>
      <c r="G11" s="121">
        <v>4662</v>
      </c>
      <c r="H11" s="121">
        <v>4655</v>
      </c>
      <c r="I11" s="121">
        <v>4653</v>
      </c>
      <c r="J11" s="120">
        <v>4651</v>
      </c>
      <c r="K11" s="121">
        <v>4526</v>
      </c>
      <c r="L11" s="147" t="s">
        <v>416</v>
      </c>
      <c r="M11" s="44"/>
      <c r="N11" s="118"/>
    </row>
    <row r="12" spans="1:14" x14ac:dyDescent="0.25">
      <c r="A12" s="52" t="s">
        <v>21</v>
      </c>
      <c r="B12" s="134">
        <f>1630+700+500+720</f>
        <v>3550</v>
      </c>
      <c r="C12" s="121">
        <v>5680</v>
      </c>
      <c r="D12" s="121">
        <v>4916</v>
      </c>
      <c r="E12" s="121">
        <v>4849</v>
      </c>
      <c r="F12" s="121">
        <v>4772</v>
      </c>
      <c r="G12" s="126"/>
      <c r="H12" s="54"/>
      <c r="I12" s="54"/>
      <c r="J12" s="54"/>
      <c r="K12" s="54"/>
      <c r="L12" s="147" t="s">
        <v>415</v>
      </c>
      <c r="M12" s="202"/>
    </row>
    <row r="13" spans="1:14" x14ac:dyDescent="0.25">
      <c r="A13" s="49" t="s">
        <v>114</v>
      </c>
      <c r="B13" s="134">
        <v>0</v>
      </c>
      <c r="C13" s="121">
        <v>5062</v>
      </c>
      <c r="D13" s="122"/>
      <c r="E13" s="122"/>
      <c r="F13" s="129"/>
      <c r="G13" s="122"/>
      <c r="H13" s="54"/>
      <c r="I13" s="54"/>
      <c r="J13" s="54"/>
      <c r="K13" s="54"/>
      <c r="L13" s="148" t="s">
        <v>294</v>
      </c>
      <c r="M13" s="204" t="s">
        <v>423</v>
      </c>
    </row>
    <row r="14" spans="1:14" x14ac:dyDescent="0.25">
      <c r="A14" s="52" t="s">
        <v>12</v>
      </c>
      <c r="B14" s="134">
        <v>933</v>
      </c>
      <c r="C14" s="121">
        <v>5537</v>
      </c>
      <c r="D14" s="122"/>
      <c r="E14" s="54"/>
      <c r="F14" s="118"/>
      <c r="G14" s="122"/>
      <c r="H14" s="54"/>
      <c r="I14" s="54"/>
      <c r="J14" s="54"/>
      <c r="K14" s="54"/>
      <c r="L14" s="148" t="s">
        <v>294</v>
      </c>
      <c r="M14" s="202"/>
    </row>
    <row r="15" spans="1:14" x14ac:dyDescent="0.25">
      <c r="A15" s="52" t="s">
        <v>150</v>
      </c>
      <c r="B15" s="134">
        <v>10</v>
      </c>
      <c r="C15" s="121">
        <v>4836</v>
      </c>
      <c r="D15" s="122"/>
      <c r="E15" s="56"/>
      <c r="F15" s="118"/>
      <c r="G15" s="122"/>
      <c r="H15" s="56"/>
      <c r="I15" s="56"/>
      <c r="J15" s="56"/>
      <c r="K15" s="56"/>
      <c r="L15" s="148" t="s">
        <v>294</v>
      </c>
      <c r="M15" s="202"/>
    </row>
    <row r="16" spans="1:14" x14ac:dyDescent="0.25">
      <c r="A16" s="49" t="s">
        <v>15</v>
      </c>
      <c r="B16" s="134">
        <v>1150</v>
      </c>
      <c r="C16" s="128">
        <v>4846</v>
      </c>
      <c r="D16" s="56"/>
      <c r="E16" s="56"/>
      <c r="F16" s="118"/>
      <c r="G16" s="122"/>
      <c r="H16" s="56"/>
      <c r="I16" s="56"/>
      <c r="J16" s="56"/>
      <c r="K16" s="56"/>
      <c r="L16" s="148" t="s">
        <v>294</v>
      </c>
      <c r="M16" s="202"/>
    </row>
    <row r="17" spans="1:13" ht="30" x14ac:dyDescent="0.25">
      <c r="A17" s="52" t="s">
        <v>199</v>
      </c>
      <c r="B17" s="134">
        <v>20000</v>
      </c>
      <c r="C17" s="121">
        <v>4640</v>
      </c>
      <c r="D17" s="122"/>
      <c r="E17" s="54"/>
      <c r="F17" s="118"/>
      <c r="G17" s="122"/>
      <c r="H17" s="54"/>
      <c r="I17" s="54"/>
      <c r="J17" s="54"/>
      <c r="K17" s="54"/>
      <c r="L17" s="148" t="s">
        <v>294</v>
      </c>
      <c r="M17" s="202"/>
    </row>
    <row r="18" spans="1:13" x14ac:dyDescent="0.25">
      <c r="A18" s="52" t="s">
        <v>157</v>
      </c>
      <c r="B18" s="134">
        <v>450</v>
      </c>
      <c r="C18" s="121">
        <v>5073</v>
      </c>
      <c r="D18" s="122"/>
      <c r="E18" s="54"/>
      <c r="F18" s="118"/>
      <c r="G18" s="122"/>
      <c r="H18" s="54"/>
      <c r="I18" s="54"/>
      <c r="J18" s="54"/>
      <c r="K18" s="54"/>
      <c r="L18" s="148" t="s">
        <v>294</v>
      </c>
      <c r="M18" s="202"/>
    </row>
    <row r="19" spans="1:13" x14ac:dyDescent="0.25">
      <c r="A19" s="52" t="s">
        <v>98</v>
      </c>
      <c r="B19" s="134">
        <v>200</v>
      </c>
      <c r="C19" s="121">
        <v>5749</v>
      </c>
      <c r="D19" s="122"/>
      <c r="E19" s="54"/>
      <c r="F19" s="118"/>
      <c r="G19" s="122"/>
      <c r="H19" s="54"/>
      <c r="I19" s="54"/>
      <c r="J19" s="54"/>
      <c r="K19" s="54"/>
      <c r="L19" s="148" t="s">
        <v>294</v>
      </c>
      <c r="M19" s="202"/>
    </row>
    <row r="20" spans="1:13" x14ac:dyDescent="0.25">
      <c r="A20" s="52" t="s">
        <v>194</v>
      </c>
      <c r="B20" s="134">
        <v>1907.7</v>
      </c>
      <c r="C20" s="121">
        <v>4559</v>
      </c>
      <c r="D20" s="122"/>
      <c r="E20" s="54"/>
      <c r="F20" s="54"/>
      <c r="G20" s="54"/>
      <c r="H20" s="54"/>
      <c r="I20" s="54"/>
      <c r="J20" s="54"/>
      <c r="K20" s="54"/>
      <c r="L20" s="148" t="s">
        <v>294</v>
      </c>
      <c r="M20" s="202"/>
    </row>
    <row r="21" spans="1:13" x14ac:dyDescent="0.25">
      <c r="A21" s="52" t="s">
        <v>81</v>
      </c>
      <c r="B21" s="134">
        <v>18.440000000000001</v>
      </c>
      <c r="C21" s="121">
        <v>5398</v>
      </c>
      <c r="D21" s="122"/>
      <c r="E21" s="57"/>
      <c r="F21" s="57"/>
      <c r="G21" s="57"/>
      <c r="H21" s="57"/>
      <c r="I21" s="57"/>
      <c r="J21" s="57"/>
      <c r="K21" s="57"/>
      <c r="L21" s="148" t="s">
        <v>294</v>
      </c>
      <c r="M21" s="202"/>
    </row>
    <row r="22" spans="1:13" x14ac:dyDescent="0.25">
      <c r="A22" s="52" t="s">
        <v>139</v>
      </c>
      <c r="B22" s="134">
        <v>150</v>
      </c>
      <c r="C22" s="121">
        <v>5529</v>
      </c>
      <c r="D22" s="122"/>
      <c r="E22" s="54"/>
      <c r="F22" s="54"/>
      <c r="G22" s="54"/>
      <c r="H22" s="54"/>
      <c r="I22" s="54"/>
      <c r="J22" s="54"/>
      <c r="K22" s="54"/>
      <c r="L22" s="148" t="s">
        <v>294</v>
      </c>
      <c r="M22" s="202"/>
    </row>
    <row r="23" spans="1:13" x14ac:dyDescent="0.25">
      <c r="A23" s="52" t="s">
        <v>73</v>
      </c>
      <c r="B23" s="134">
        <v>109.93</v>
      </c>
      <c r="C23" s="121">
        <v>4835</v>
      </c>
      <c r="D23" s="122"/>
      <c r="E23" s="54"/>
      <c r="F23" s="54"/>
      <c r="G23" s="54"/>
      <c r="H23" s="54"/>
      <c r="I23" s="54"/>
      <c r="J23" s="54"/>
      <c r="K23" s="54"/>
      <c r="L23" s="148" t="s">
        <v>294</v>
      </c>
      <c r="M23" s="202"/>
    </row>
    <row r="24" spans="1:13" x14ac:dyDescent="0.25">
      <c r="A24" s="52" t="s">
        <v>159</v>
      </c>
      <c r="B24" s="134">
        <v>10</v>
      </c>
      <c r="C24" s="121">
        <v>5069</v>
      </c>
      <c r="D24" s="122"/>
      <c r="E24" s="54"/>
      <c r="F24" s="54"/>
      <c r="G24" s="54"/>
      <c r="H24" s="54"/>
      <c r="I24" s="54"/>
      <c r="J24" s="54"/>
      <c r="K24" s="54"/>
      <c r="L24" s="148" t="s">
        <v>294</v>
      </c>
      <c r="M24" s="202"/>
    </row>
    <row r="25" spans="1:13" x14ac:dyDescent="0.25">
      <c r="A25" s="52" t="s">
        <v>48</v>
      </c>
      <c r="B25" s="134">
        <v>13134</v>
      </c>
      <c r="C25" s="128">
        <v>5132</v>
      </c>
      <c r="D25" s="121">
        <v>4743</v>
      </c>
      <c r="E25" s="122"/>
      <c r="F25" s="54"/>
      <c r="G25" s="54"/>
      <c r="H25" s="54"/>
      <c r="I25" s="54"/>
      <c r="J25" s="54"/>
      <c r="K25" s="54"/>
      <c r="L25" s="148" t="s">
        <v>296</v>
      </c>
      <c r="M25" s="202"/>
    </row>
    <row r="26" spans="1:13" x14ac:dyDescent="0.25">
      <c r="A26" s="49" t="s">
        <v>214</v>
      </c>
      <c r="B26" s="134">
        <v>800</v>
      </c>
      <c r="C26" s="121">
        <v>4867</v>
      </c>
      <c r="D26" s="122"/>
      <c r="E26" s="54"/>
      <c r="F26" s="54"/>
      <c r="G26" s="54"/>
      <c r="H26" s="54"/>
      <c r="I26" s="54"/>
      <c r="J26" s="54"/>
      <c r="K26" s="54"/>
      <c r="L26" s="148" t="s">
        <v>294</v>
      </c>
      <c r="M26" s="202"/>
    </row>
    <row r="27" spans="1:13" x14ac:dyDescent="0.25">
      <c r="A27" s="133" t="s">
        <v>9</v>
      </c>
      <c r="B27" s="134">
        <v>1000</v>
      </c>
      <c r="C27" s="121">
        <v>4470</v>
      </c>
      <c r="D27" s="122"/>
      <c r="E27" s="54"/>
      <c r="F27" s="54"/>
      <c r="G27" s="54"/>
      <c r="H27" s="54"/>
      <c r="I27" s="54"/>
      <c r="J27" s="54"/>
      <c r="K27" s="54"/>
      <c r="L27" s="148" t="s">
        <v>294</v>
      </c>
      <c r="M27" s="202"/>
    </row>
    <row r="28" spans="1:13" x14ac:dyDescent="0.25">
      <c r="A28" s="52" t="s">
        <v>19</v>
      </c>
      <c r="B28" s="134">
        <v>2240</v>
      </c>
      <c r="C28" s="121">
        <v>5392</v>
      </c>
      <c r="D28" s="122"/>
      <c r="E28" s="54"/>
      <c r="F28" s="54"/>
      <c r="G28" s="54"/>
      <c r="H28" s="54"/>
      <c r="I28" s="54"/>
      <c r="J28" s="54"/>
      <c r="K28" s="54"/>
      <c r="L28" s="148" t="s">
        <v>294</v>
      </c>
      <c r="M28" s="202"/>
    </row>
    <row r="29" spans="1:13" x14ac:dyDescent="0.25">
      <c r="A29" s="52" t="s">
        <v>187</v>
      </c>
      <c r="B29" s="134">
        <v>37907.629999999997</v>
      </c>
      <c r="C29" s="121">
        <v>9193</v>
      </c>
      <c r="D29" s="121">
        <v>4584</v>
      </c>
      <c r="E29" s="118"/>
      <c r="F29" s="122"/>
      <c r="G29" s="54"/>
      <c r="H29" s="54"/>
      <c r="I29" s="54"/>
      <c r="J29" s="54"/>
      <c r="K29" s="54"/>
      <c r="L29" s="147" t="s">
        <v>421</v>
      </c>
      <c r="M29" s="202"/>
    </row>
    <row r="30" spans="1:13" x14ac:dyDescent="0.25">
      <c r="A30" s="52" t="s">
        <v>74</v>
      </c>
      <c r="B30" s="134">
        <v>74</v>
      </c>
      <c r="C30" s="121">
        <v>5551</v>
      </c>
      <c r="D30" s="122"/>
      <c r="E30" s="118"/>
      <c r="F30" s="124"/>
      <c r="G30" s="54"/>
      <c r="H30" s="54"/>
      <c r="I30" s="54"/>
      <c r="J30" s="54"/>
      <c r="K30" s="54"/>
      <c r="L30" s="147" t="s">
        <v>295</v>
      </c>
      <c r="M30" s="202"/>
    </row>
    <row r="31" spans="1:13" x14ac:dyDescent="0.25">
      <c r="A31" s="52" t="s">
        <v>80</v>
      </c>
      <c r="B31" s="134">
        <v>2894.85</v>
      </c>
      <c r="C31" s="121">
        <v>6958</v>
      </c>
      <c r="D31" s="121">
        <v>4844</v>
      </c>
      <c r="E31" s="118"/>
      <c r="F31" s="122"/>
      <c r="G31" s="54"/>
      <c r="H31" s="54"/>
      <c r="I31" s="54"/>
      <c r="J31" s="54"/>
      <c r="K31" s="54"/>
      <c r="L31" s="148" t="s">
        <v>297</v>
      </c>
      <c r="M31" s="202"/>
    </row>
    <row r="32" spans="1:13" x14ac:dyDescent="0.25">
      <c r="A32" s="140" t="s">
        <v>411</v>
      </c>
      <c r="B32" s="133">
        <v>500</v>
      </c>
      <c r="C32" s="127">
        <v>6940</v>
      </c>
      <c r="D32" s="44"/>
      <c r="E32" s="130"/>
      <c r="F32" s="130"/>
      <c r="G32" s="131"/>
      <c r="H32" s="132"/>
      <c r="I32" s="55"/>
      <c r="J32" s="55"/>
      <c r="K32" s="55"/>
      <c r="L32" s="149" t="s">
        <v>412</v>
      </c>
      <c r="M32" s="202"/>
    </row>
    <row r="33" spans="1:13" x14ac:dyDescent="0.25">
      <c r="A33" s="52" t="s">
        <v>20</v>
      </c>
      <c r="B33" s="134">
        <v>2970</v>
      </c>
      <c r="C33" s="121">
        <v>5351</v>
      </c>
      <c r="D33" s="118"/>
      <c r="E33" s="122"/>
      <c r="F33" s="124"/>
      <c r="G33" s="54"/>
      <c r="H33" s="54"/>
      <c r="I33" s="54"/>
      <c r="J33" s="54"/>
      <c r="K33" s="54"/>
      <c r="L33" s="148" t="s">
        <v>295</v>
      </c>
      <c r="M33" s="202"/>
    </row>
    <row r="34" spans="1:13" x14ac:dyDescent="0.25">
      <c r="A34" s="141" t="s">
        <v>79</v>
      </c>
      <c r="B34" s="201">
        <v>2</v>
      </c>
      <c r="C34" s="121">
        <v>9553</v>
      </c>
      <c r="D34" s="118"/>
      <c r="E34" s="118"/>
      <c r="F34" s="118"/>
      <c r="G34" s="118"/>
      <c r="H34" s="118"/>
      <c r="I34" s="118"/>
      <c r="J34" s="118"/>
      <c r="K34" s="118"/>
      <c r="L34" s="146" t="s">
        <v>413</v>
      </c>
      <c r="M34" s="202"/>
    </row>
    <row r="35" spans="1:13" ht="25.5" x14ac:dyDescent="0.25">
      <c r="A35" s="52" t="s">
        <v>5</v>
      </c>
      <c r="B35" s="134">
        <f>1100+6000+5600+1000</f>
        <v>13700</v>
      </c>
      <c r="C35" s="121">
        <v>9445</v>
      </c>
      <c r="D35" s="121">
        <v>5089</v>
      </c>
      <c r="E35" s="128">
        <v>4792</v>
      </c>
      <c r="F35" s="121">
        <v>4763</v>
      </c>
      <c r="G35" s="118"/>
      <c r="H35" s="54"/>
      <c r="I35" s="54"/>
      <c r="J35" s="54"/>
      <c r="K35" s="54"/>
      <c r="L35" s="147" t="s">
        <v>422</v>
      </c>
      <c r="M35" s="202"/>
    </row>
    <row r="36" spans="1:13" x14ac:dyDescent="0.25">
      <c r="A36" s="52" t="s">
        <v>205</v>
      </c>
      <c r="B36" s="134">
        <f>9400+4667.72</f>
        <v>14067.720000000001</v>
      </c>
      <c r="C36" s="127">
        <v>9389</v>
      </c>
      <c r="D36" s="127">
        <v>4562</v>
      </c>
      <c r="E36" s="44"/>
      <c r="F36" s="130"/>
      <c r="G36" s="55"/>
      <c r="H36" s="54"/>
      <c r="I36" s="54"/>
      <c r="J36" s="54"/>
      <c r="K36" s="54"/>
      <c r="L36" s="148" t="s">
        <v>417</v>
      </c>
      <c r="M36" s="202"/>
    </row>
    <row r="37" spans="1:13" x14ac:dyDescent="0.25">
      <c r="A37" s="48" t="s">
        <v>10</v>
      </c>
      <c r="B37" s="152">
        <v>1310</v>
      </c>
      <c r="C37" s="121">
        <v>9158</v>
      </c>
      <c r="D37" s="118"/>
      <c r="E37" s="118"/>
      <c r="F37" s="118"/>
      <c r="G37" s="54"/>
      <c r="H37" s="54"/>
      <c r="I37" s="54"/>
      <c r="J37" s="54"/>
      <c r="K37" s="54"/>
      <c r="L37" s="146" t="s">
        <v>412</v>
      </c>
      <c r="M37" s="202"/>
    </row>
    <row r="38" spans="1:13" x14ac:dyDescent="0.25">
      <c r="A38" s="52" t="s">
        <v>35</v>
      </c>
      <c r="B38" s="134">
        <v>32814.31</v>
      </c>
      <c r="C38" s="127">
        <v>6992</v>
      </c>
      <c r="D38" s="127">
        <v>5159</v>
      </c>
      <c r="E38" s="44"/>
      <c r="F38" s="135"/>
      <c r="G38" s="55"/>
      <c r="H38" s="55"/>
      <c r="I38" s="54"/>
      <c r="J38" s="54"/>
      <c r="K38" s="54"/>
      <c r="L38" s="148" t="s">
        <v>296</v>
      </c>
      <c r="M38" s="202"/>
    </row>
    <row r="39" spans="1:13" x14ac:dyDescent="0.25">
      <c r="A39" s="52" t="s">
        <v>106</v>
      </c>
      <c r="B39" s="134">
        <v>25.5</v>
      </c>
      <c r="C39" s="121">
        <v>5552</v>
      </c>
      <c r="D39" s="122"/>
      <c r="E39" s="44"/>
      <c r="F39" s="130"/>
      <c r="G39" s="55"/>
      <c r="H39" s="55"/>
      <c r="I39" s="54"/>
      <c r="J39" s="54"/>
      <c r="K39" s="54"/>
      <c r="L39" s="148" t="s">
        <v>294</v>
      </c>
      <c r="M39" s="202"/>
    </row>
    <row r="40" spans="1:13" x14ac:dyDescent="0.25">
      <c r="A40" s="52" t="s">
        <v>62</v>
      </c>
      <c r="B40" s="134">
        <v>0</v>
      </c>
      <c r="C40" s="121">
        <v>5208</v>
      </c>
      <c r="D40" s="122"/>
      <c r="E40" s="118"/>
      <c r="F40" s="122"/>
      <c r="G40" s="54"/>
      <c r="H40" s="54"/>
      <c r="I40" s="54"/>
      <c r="J40" s="54"/>
      <c r="K40" s="54"/>
      <c r="L40" s="148" t="s">
        <v>294</v>
      </c>
      <c r="M40" s="204" t="s">
        <v>423</v>
      </c>
    </row>
    <row r="41" spans="1:13" x14ac:dyDescent="0.25">
      <c r="A41" s="48" t="s">
        <v>172</v>
      </c>
      <c r="B41" s="152">
        <v>200</v>
      </c>
      <c r="C41" s="121">
        <v>9231</v>
      </c>
      <c r="D41" s="118"/>
      <c r="E41" s="118"/>
      <c r="F41" s="118"/>
      <c r="G41" s="118"/>
      <c r="H41" s="118"/>
      <c r="I41" s="118"/>
      <c r="J41" s="118"/>
      <c r="K41" s="118"/>
      <c r="L41" s="146" t="s">
        <v>413</v>
      </c>
      <c r="M41" s="202"/>
    </row>
    <row r="42" spans="1:13" x14ac:dyDescent="0.25">
      <c r="A42" s="49" t="s">
        <v>204</v>
      </c>
      <c r="B42" s="134">
        <v>2550</v>
      </c>
      <c r="C42" s="128">
        <v>5510</v>
      </c>
      <c r="D42" s="54"/>
      <c r="E42" s="54"/>
      <c r="F42" s="54"/>
      <c r="G42" s="54"/>
      <c r="H42" s="54"/>
      <c r="I42" s="54"/>
      <c r="J42" s="54"/>
      <c r="K42" s="54"/>
      <c r="L42" s="148" t="s">
        <v>294</v>
      </c>
      <c r="M42" s="202"/>
    </row>
    <row r="43" spans="1:13" x14ac:dyDescent="0.25">
      <c r="A43" s="52" t="s">
        <v>253</v>
      </c>
      <c r="B43" s="134">
        <v>1210</v>
      </c>
      <c r="C43" s="121">
        <v>5458</v>
      </c>
      <c r="D43" s="121">
        <v>5080</v>
      </c>
      <c r="E43" s="118"/>
      <c r="F43" s="122"/>
      <c r="G43" s="54"/>
      <c r="H43" s="54"/>
      <c r="I43" s="54"/>
      <c r="J43" s="54"/>
      <c r="K43" s="54"/>
      <c r="L43" s="148" t="s">
        <v>297</v>
      </c>
      <c r="M43" s="202"/>
    </row>
    <row r="44" spans="1:13" x14ac:dyDescent="0.25">
      <c r="A44" s="52" t="s">
        <v>155</v>
      </c>
      <c r="B44" s="134">
        <v>0</v>
      </c>
      <c r="C44" s="121">
        <v>5078</v>
      </c>
      <c r="D44" s="122"/>
      <c r="E44" s="118"/>
      <c r="F44" s="57"/>
      <c r="G44" s="57"/>
      <c r="H44" s="57"/>
      <c r="I44" s="57"/>
      <c r="J44" s="57"/>
      <c r="K44" s="57"/>
      <c r="L44" s="148" t="s">
        <v>294</v>
      </c>
      <c r="M44" s="204" t="s">
        <v>423</v>
      </c>
    </row>
    <row r="45" spans="1:13" x14ac:dyDescent="0.25">
      <c r="A45" s="48" t="s">
        <v>110</v>
      </c>
      <c r="B45" s="152">
        <v>40</v>
      </c>
      <c r="C45" s="121">
        <v>9406</v>
      </c>
      <c r="D45" s="118"/>
      <c r="E45" s="118"/>
      <c r="F45" s="118"/>
      <c r="G45" s="118"/>
      <c r="H45" s="118"/>
      <c r="I45" s="118"/>
      <c r="J45" s="118"/>
      <c r="K45" s="118"/>
      <c r="L45" s="146" t="s">
        <v>413</v>
      </c>
      <c r="M45" s="202"/>
    </row>
    <row r="46" spans="1:13" ht="30" x14ac:dyDescent="0.25">
      <c r="A46" s="48" t="s">
        <v>418</v>
      </c>
      <c r="B46" s="152">
        <v>122</v>
      </c>
      <c r="C46" s="121">
        <v>9580</v>
      </c>
      <c r="D46" s="118"/>
      <c r="E46" s="118"/>
      <c r="F46" s="118"/>
      <c r="G46" s="118"/>
      <c r="H46" s="118"/>
      <c r="I46" s="118"/>
      <c r="J46" s="118"/>
      <c r="K46" s="118"/>
      <c r="L46" s="146" t="s">
        <v>413</v>
      </c>
      <c r="M46" s="202"/>
    </row>
    <row r="47" spans="1:13" x14ac:dyDescent="0.25">
      <c r="A47" s="52" t="s">
        <v>192</v>
      </c>
      <c r="B47" s="134">
        <v>0</v>
      </c>
      <c r="C47" s="121">
        <v>5122</v>
      </c>
      <c r="D47" s="122"/>
      <c r="E47" s="54"/>
      <c r="F47" s="54"/>
      <c r="G47" s="54"/>
      <c r="H47" s="54"/>
      <c r="I47" s="54"/>
      <c r="J47" s="54"/>
      <c r="K47" s="54"/>
      <c r="L47" s="148" t="s">
        <v>294</v>
      </c>
      <c r="M47" s="204" t="s">
        <v>423</v>
      </c>
    </row>
    <row r="48" spans="1:13" x14ac:dyDescent="0.25">
      <c r="A48" s="52" t="s">
        <v>7</v>
      </c>
      <c r="B48" s="134">
        <v>1570</v>
      </c>
      <c r="C48" s="121">
        <v>4848</v>
      </c>
      <c r="D48" s="122"/>
      <c r="E48" s="54"/>
      <c r="F48" s="54"/>
      <c r="G48" s="54"/>
      <c r="H48" s="54"/>
      <c r="I48" s="54"/>
      <c r="J48" s="54"/>
      <c r="K48" s="54"/>
      <c r="L48" s="148" t="s">
        <v>294</v>
      </c>
      <c r="M48" s="202"/>
    </row>
    <row r="49" spans="1:13" x14ac:dyDescent="0.25">
      <c r="A49" s="118" t="s">
        <v>90</v>
      </c>
      <c r="B49" s="152">
        <v>500</v>
      </c>
      <c r="C49" s="121">
        <v>5337</v>
      </c>
      <c r="D49" s="118"/>
      <c r="E49" s="118"/>
      <c r="F49" s="118"/>
      <c r="G49" s="118"/>
      <c r="H49" s="118"/>
      <c r="I49" s="118"/>
      <c r="J49" s="118"/>
      <c r="K49" s="118"/>
      <c r="L49" s="145" t="s">
        <v>412</v>
      </c>
    </row>
    <row r="50" spans="1:13" x14ac:dyDescent="0.25">
      <c r="A50" s="52" t="s">
        <v>66</v>
      </c>
      <c r="B50" s="59">
        <v>248.45</v>
      </c>
      <c r="C50" s="121">
        <v>5065</v>
      </c>
      <c r="D50" s="122"/>
      <c r="E50" s="54"/>
      <c r="F50" s="54"/>
      <c r="G50" s="54"/>
      <c r="H50" s="54"/>
      <c r="I50" s="54"/>
      <c r="J50" s="54"/>
      <c r="K50" s="54"/>
      <c r="L50" s="148" t="s">
        <v>294</v>
      </c>
      <c r="M50" s="202"/>
    </row>
    <row r="51" spans="1:13" x14ac:dyDescent="0.25">
      <c r="A51" s="48" t="s">
        <v>176</v>
      </c>
      <c r="B51" s="137">
        <v>6600</v>
      </c>
      <c r="C51" s="121">
        <v>6949</v>
      </c>
      <c r="D51" s="118"/>
      <c r="E51" s="118"/>
      <c r="F51" s="118"/>
      <c r="G51" s="118"/>
      <c r="H51" s="118"/>
      <c r="L51" s="146" t="s">
        <v>412</v>
      </c>
      <c r="M51" s="202"/>
    </row>
    <row r="52" spans="1:13" x14ac:dyDescent="0.25">
      <c r="A52" s="118" t="s">
        <v>64</v>
      </c>
      <c r="B52" s="137">
        <v>130</v>
      </c>
      <c r="C52" s="121">
        <v>5330</v>
      </c>
      <c r="D52" s="118"/>
      <c r="E52" s="118"/>
      <c r="F52" s="118"/>
      <c r="G52" s="118"/>
      <c r="H52" s="118"/>
      <c r="L52" s="145" t="s">
        <v>412</v>
      </c>
      <c r="M52" s="202"/>
    </row>
    <row r="53" spans="1:13" ht="30" x14ac:dyDescent="0.25">
      <c r="A53" s="52" t="s">
        <v>200</v>
      </c>
      <c r="B53" s="59">
        <f>'All Country Data'!I223</f>
        <v>763.29299999999989</v>
      </c>
      <c r="C53" s="121">
        <v>5528</v>
      </c>
      <c r="D53" s="122"/>
      <c r="E53" s="54"/>
      <c r="F53" s="54"/>
      <c r="G53" s="54"/>
      <c r="H53" s="54"/>
      <c r="I53" s="54"/>
      <c r="J53" s="54"/>
      <c r="K53" s="54"/>
      <c r="L53" s="148" t="s">
        <v>294</v>
      </c>
      <c r="M53" s="202"/>
    </row>
    <row r="54" spans="1:13" x14ac:dyDescent="0.25">
      <c r="A54" s="52" t="s">
        <v>28</v>
      </c>
      <c r="B54" s="134">
        <f>'All Country Data'!I224</f>
        <v>592.10500000000002</v>
      </c>
      <c r="C54" s="121">
        <v>9434</v>
      </c>
      <c r="D54" s="124"/>
      <c r="E54" s="57"/>
      <c r="F54" s="57"/>
      <c r="G54" s="57"/>
      <c r="H54" s="57"/>
      <c r="I54" s="57"/>
      <c r="J54" s="57"/>
      <c r="K54" s="57"/>
      <c r="L54" s="147" t="s">
        <v>295</v>
      </c>
      <c r="M54" s="202"/>
    </row>
    <row r="55" spans="1:13" x14ac:dyDescent="0.25">
      <c r="A55" s="52" t="s">
        <v>137</v>
      </c>
      <c r="B55" s="59">
        <v>350</v>
      </c>
      <c r="C55" s="121">
        <v>4769</v>
      </c>
      <c r="D55" s="122"/>
      <c r="E55" s="57"/>
      <c r="F55" s="57"/>
      <c r="G55" s="57"/>
      <c r="H55" s="57"/>
      <c r="I55" s="57"/>
      <c r="J55" s="57"/>
      <c r="K55" s="57"/>
      <c r="L55" s="148" t="s">
        <v>294</v>
      </c>
      <c r="M55" s="202"/>
    </row>
    <row r="56" spans="1:13" x14ac:dyDescent="0.25">
      <c r="A56" s="52" t="s">
        <v>175</v>
      </c>
      <c r="B56" s="59">
        <v>899.6</v>
      </c>
      <c r="C56" s="121">
        <v>5657</v>
      </c>
      <c r="D56" s="121">
        <v>4469</v>
      </c>
      <c r="E56" s="54"/>
      <c r="F56" s="118"/>
      <c r="G56" s="122"/>
      <c r="H56" s="54"/>
      <c r="I56" s="54"/>
      <c r="J56" s="54"/>
      <c r="K56" s="54"/>
      <c r="L56" s="148" t="s">
        <v>297</v>
      </c>
      <c r="M56" s="202"/>
    </row>
    <row r="57" spans="1:13" x14ac:dyDescent="0.25">
      <c r="A57" s="52" t="s">
        <v>111</v>
      </c>
      <c r="B57" s="59">
        <v>956</v>
      </c>
      <c r="C57" s="121">
        <v>4456</v>
      </c>
      <c r="D57" s="122"/>
      <c r="E57" s="54"/>
      <c r="F57" s="118"/>
      <c r="G57" s="122"/>
      <c r="H57" s="54"/>
      <c r="I57" s="54"/>
      <c r="J57" s="54"/>
      <c r="K57" s="54"/>
      <c r="L57" s="148" t="s">
        <v>294</v>
      </c>
      <c r="M57" s="202"/>
    </row>
    <row r="58" spans="1:13" ht="30" x14ac:dyDescent="0.25">
      <c r="A58" s="52" t="s">
        <v>4</v>
      </c>
      <c r="B58" s="59">
        <v>1183.69</v>
      </c>
      <c r="C58" s="121">
        <v>5034</v>
      </c>
      <c r="D58" s="122"/>
      <c r="E58" s="57"/>
      <c r="F58" s="57"/>
      <c r="G58" s="57"/>
      <c r="H58" s="57"/>
      <c r="I58" s="57"/>
      <c r="J58" s="57"/>
      <c r="K58" s="57"/>
      <c r="L58" s="148" t="s">
        <v>294</v>
      </c>
      <c r="M58" s="202"/>
    </row>
    <row r="59" spans="1:13" x14ac:dyDescent="0.25">
      <c r="A59" s="49" t="s">
        <v>24</v>
      </c>
      <c r="B59" s="59">
        <v>856.98</v>
      </c>
      <c r="C59" s="128">
        <v>4841</v>
      </c>
      <c r="D59" s="54"/>
      <c r="E59" s="54"/>
      <c r="F59" s="54"/>
      <c r="G59" s="54"/>
      <c r="H59" s="54"/>
      <c r="I59" s="54"/>
      <c r="J59" s="54"/>
      <c r="K59" s="54"/>
      <c r="L59" s="148" t="s">
        <v>294</v>
      </c>
      <c r="M59" s="98" t="s">
        <v>420</v>
      </c>
    </row>
    <row r="60" spans="1:13" x14ac:dyDescent="0.25">
      <c r="A60" s="52" t="s">
        <v>126</v>
      </c>
      <c r="B60" s="59">
        <v>2250</v>
      </c>
      <c r="C60" s="121">
        <v>8031</v>
      </c>
      <c r="D60" s="124"/>
      <c r="E60" s="54"/>
      <c r="F60" s="54"/>
      <c r="G60" s="54"/>
      <c r="H60" s="54"/>
      <c r="I60" s="54"/>
      <c r="J60" s="54"/>
      <c r="K60" s="54"/>
      <c r="L60" s="148" t="s">
        <v>294</v>
      </c>
      <c r="M60" s="94"/>
    </row>
    <row r="61" spans="1:13" x14ac:dyDescent="0.25">
      <c r="A61" s="118" t="s">
        <v>193</v>
      </c>
      <c r="B61" s="137">
        <v>150</v>
      </c>
      <c r="C61" s="121">
        <v>5397</v>
      </c>
      <c r="D61" s="118"/>
      <c r="E61" s="118"/>
      <c r="F61" s="118"/>
      <c r="G61" s="118"/>
      <c r="H61" s="118"/>
      <c r="I61" s="118"/>
      <c r="J61" s="118"/>
      <c r="K61" s="118"/>
      <c r="L61" s="145" t="s">
        <v>412</v>
      </c>
      <c r="M61" s="94"/>
    </row>
    <row r="62" spans="1:13" x14ac:dyDescent="0.25">
      <c r="A62" s="52" t="s">
        <v>51</v>
      </c>
      <c r="B62" s="59">
        <f>310+721.46</f>
        <v>1031.46</v>
      </c>
      <c r="C62" s="121">
        <v>9361</v>
      </c>
      <c r="D62" s="121">
        <v>4760</v>
      </c>
      <c r="E62" s="54"/>
      <c r="F62" s="118"/>
      <c r="G62" s="124"/>
      <c r="H62" s="54"/>
      <c r="I62" s="54"/>
      <c r="J62" s="54"/>
      <c r="K62" s="54"/>
      <c r="L62" s="147" t="s">
        <v>421</v>
      </c>
      <c r="M62" s="206" t="s">
        <v>419</v>
      </c>
    </row>
    <row r="63" spans="1:13" x14ac:dyDescent="0.25">
      <c r="A63" s="52" t="s">
        <v>186</v>
      </c>
      <c r="B63" s="59">
        <v>5579</v>
      </c>
      <c r="C63" s="121">
        <v>4639</v>
      </c>
      <c r="D63" s="122"/>
      <c r="E63" s="54"/>
      <c r="F63" s="118"/>
      <c r="G63" s="122"/>
      <c r="H63" s="54"/>
      <c r="I63" s="54"/>
      <c r="J63" s="54"/>
      <c r="K63" s="54"/>
      <c r="L63" s="148" t="s">
        <v>294</v>
      </c>
      <c r="M63" s="202"/>
    </row>
    <row r="64" spans="1:13" ht="15.75" thickBot="1" x14ac:dyDescent="0.3">
      <c r="C64" s="136"/>
      <c r="D64" s="118"/>
      <c r="E64" s="118"/>
      <c r="F64" s="118"/>
      <c r="G64" s="118"/>
      <c r="H64" s="118"/>
      <c r="I64" s="118"/>
      <c r="J64" s="118"/>
      <c r="K64" s="118"/>
      <c r="L64" s="150"/>
    </row>
    <row r="65" spans="1:12" ht="15.75" thickBot="1" x14ac:dyDescent="0.3">
      <c r="A65" s="163" t="s">
        <v>267</v>
      </c>
      <c r="B65" s="97">
        <f>SUM(B2:B63)</f>
        <v>257216.93800000002</v>
      </c>
      <c r="C65" s="136"/>
      <c r="D65" s="118"/>
      <c r="E65" s="118"/>
      <c r="F65" s="118"/>
      <c r="G65" s="118"/>
      <c r="H65" s="118"/>
      <c r="I65" s="118"/>
      <c r="J65" s="118"/>
      <c r="K65" s="118"/>
      <c r="L65" s="150"/>
    </row>
    <row r="66" spans="1:12" x14ac:dyDescent="0.25">
      <c r="C66" s="136"/>
      <c r="D66" s="138"/>
      <c r="E66" s="118"/>
      <c r="F66" s="118"/>
      <c r="G66" s="118"/>
      <c r="H66" s="118"/>
      <c r="I66" s="118"/>
      <c r="J66" s="118"/>
      <c r="K66" s="118"/>
      <c r="L66" s="150"/>
    </row>
    <row r="67" spans="1:12" x14ac:dyDescent="0.25">
      <c r="A67" s="20"/>
      <c r="B67" s="20"/>
    </row>
  </sheetData>
  <autoFilter ref="A1:M71"/>
  <sortState ref="A60:A72">
    <sortCondition ref="A60:A72"/>
  </sortState>
  <hyperlinks>
    <hyperlink ref="C2" r:id="rId1" display="https://www.thegef.org/project/establishing-integrated-models-protected-areas-and-their-co-management"/>
    <hyperlink ref="C3" r:id="rId2" display="https://www.thegef.org/project/expansion-and-strengthening-angola%E2%80%99s-protected-area-system"/>
    <hyperlink ref="C4" r:id="rId3" display="https://www.thegef.org/project/path-2020-antigua-and-barbuda"/>
    <hyperlink ref="C5" r:id="rId4" display="https://www.thegef.org/project/expanding-pa-system-incorporate-important-aquatic-ecosystems"/>
    <hyperlink ref="C6" r:id="rId5" display="https://www.thegef.org/project/landscape-approach-management-peatlands-aiming-multiple-ecological-benefits"/>
    <hyperlink ref="C7" r:id="rId6" display="https://www.thegef.org/project/sustainable-forest-management-and-conservation-project-central-and-south-benin"/>
    <hyperlink ref="C8" r:id="rId7" display="https://www.thegef.org/project/achieving-biodiversity-conservation-through-creation-effective-management-and-spatial"/>
    <hyperlink ref="C9" r:id="rId8" display="https://www.thegef.org/project/recovery-and-protection-climate-and-biodiversity-services-southeast-atlantic-forest-corridor"/>
    <hyperlink ref="D9" r:id="rId9" display="https://www.thegef.org/project/conservation-restoration-and-sustainable-management-strategies-enhance-caatinga-pampa-and"/>
    <hyperlink ref="C10" r:id="rId10" display="https://www.thegef.org/project/sustainable-farming-and-critical-habitat-conservation-achieve-biodiversity-mainstreaming-and"/>
    <hyperlink ref="D10" r:id="rId11" display="https://www.thegef.org/project/sustainable-forest-management-under-authority-cameroonian-councils"/>
    <hyperlink ref="H11" r:id="rId12" display="https://www.thegef.org/project/cbpf-msl-strengthening-management-effectiveness-sub-system-wetland-protected-areas"/>
    <hyperlink ref="K11" r:id="rId13" display="https://www.thegef.org/project/securing-biodiversity-conservation-and-sustainable-use-huangshan-municipality"/>
    <hyperlink ref="I11" r:id="rId14" display="https://www.thegef.org/project/cbpf-msl-strengthening-management-effectiveness-protected-area-landscape-altai-mountains-and"/>
    <hyperlink ref="G11" r:id="rId15" display="https://www.thegef.org/project/cbpf-msl-piloting-provincial-level-wetland-protected-area-system-jiangxi-province"/>
    <hyperlink ref="F11" r:id="rId16" display="https://www.thegef.org/project/cbpf-msl-strengthening-management-effectiveness-wetland-protected-area-system-hainan"/>
    <hyperlink ref="E11" r:id="rId17" display="https://www.thegef.org/project/cbpf-msl-strengthening-management-effectiveness-protected-area-network-daxing%E2%80%99anling"/>
    <hyperlink ref="D11" r:id="rId18" display="https://www.thegef.org/project/cbpf-msl-strengthening-management-effectiveness-wetland-protected-area-system-anhui-province"/>
    <hyperlink ref="C11" r:id="rId19" display="https://www.thegef.org/project/chinas-protected-area-system-reform-c-par"/>
    <hyperlink ref="J11" r:id="rId20" display="https://www.thegef.org/project/landscape-approach-wildlife-conservation-northeastern-china"/>
    <hyperlink ref="F12" r:id="rId21" display="https://www.thegef.org/project/conservation-and-sustainable-use-biodiversity-dry-ecosystems-guarantee-flow-ecosystem"/>
    <hyperlink ref="C12" r:id="rId22" display="https://www.thegef.org/project/consolidation-national-system-protected-areassinap-national-and-regional-levels"/>
    <hyperlink ref="E12" r:id="rId23" display="https://www.thegef.org/project/sustainable-management-and-conservation-biodiversity-magdalena-river-basin"/>
    <hyperlink ref="D12" r:id="rId24" display="https://www.thegef.org/project/conservation-biodiversity-landscapes-impacted-mining-choco-biogeographic-region"/>
    <hyperlink ref="C13" r:id="rId25" display="https://www.thegef.org/project/development-national-network-terrestrial-and-marine-protected-areas-representative-comoros"/>
    <hyperlink ref="C14" r:id="rId26" display="https://www.thegef.org/project/creation-conkouati-dimonika-pa-complex-and-development-community-private-sector"/>
    <hyperlink ref="C15" r:id="rId27" display="https://www.thegef.org/project/conservation-sustainable-use-biodiversity-and-maintenance-ecosystem-services-internationally"/>
    <hyperlink ref="C17" r:id="rId28" display="https://www.thegef.org/project/democratic-republic-congo-conservation-trust-fund-af-national-parks-network-rehabilitation"/>
    <hyperlink ref="C16" r:id="rId29" display="https://www.thegef.org/project/landscape-approach-conservation-threatened-mountain-ecosystems"/>
    <hyperlink ref="C18" r:id="rId30" display="https://www.thegef.org/project/mainstreaming-conservation-and-sustainable-use-biodiversity-tourism-development-and"/>
    <hyperlink ref="C19" r:id="rId31" display="https://www.thegef.org/project/conservation-sustainable-use-biodiversity-and-maintenance-ecosystem-services-protected"/>
    <hyperlink ref="C20" r:id="rId32" display="https://www.thegef.org/project/integrated-semenawi-and-debubawi-bahri-buri-irrori-hawakil-protected-area-system"/>
    <hyperlink ref="C21" r:id="rId33" display="https://www.thegef.org/project/implementing-ridge-reef-approach-preserve-ecosystem-services-sequester-carbon-improve"/>
    <hyperlink ref="C22" r:id="rId34" display="https://www.thegef.org/project/gambia-protected-areas-network-and-community-livelihood-project"/>
    <hyperlink ref="C23" r:id="rId35" display="https://www.thegef.org/project/expansion-and-improved-management-effectiveness-achara-region%E2%80%99s-protected-areas"/>
    <hyperlink ref="C24" r:id="rId36" display="https://www.thegef.org/project/implementing-ridge-reef-approach-protecting-biodiversity-and-ecosystem-functions-within-and"/>
    <hyperlink ref="D25" r:id="rId37" display="https://www.thegef.org/project/developing-effective-multiple-use-management-framework-conserving-biodiversity-mountain"/>
    <hyperlink ref="C25" r:id="rId38" display="https://www.thegef.org/project/integrated-management-wetland-biodiversity-and-ecosystems-services-imwbes"/>
    <hyperlink ref="C26" r:id="rId39" display="https://www.thegef.org/project/enhancing-protected-area-system-sulawesi-e-pass-biodiversity-conservation"/>
    <hyperlink ref="C27" r:id="rId40" display="https://www.thegef.org/project/building-multiple-use-forest-management-framework-conserve-biodiversity-caspian-hyrcanian"/>
    <hyperlink ref="C28" r:id="rId41" display="https://www.thegef.org/project/initial-steps-establishment-national-protected-areas-network"/>
    <hyperlink ref="D29" r:id="rId42" display="https://www.thegef.org/project/improving-sustainability-pa-system-desert-ecosystems-through-promotion-biodiversity"/>
    <hyperlink ref="C29" r:id="rId43" display="https://www.thegef.org/project/conservation-and-sustainable-management-key-globally-important-ecosystems-multiple-benefits"/>
    <hyperlink ref="C30" r:id="rId44" display="https://www.thegef.org/project/resilient-islands-resilient-communities"/>
    <hyperlink ref="D31" r:id="rId45" display="https://www.thegef.org/project/improving-coverage-and-management-effectiveness-pas-central-tian-shan-mountains"/>
    <hyperlink ref="C31" r:id="rId46" display="https://www.thegef.org/project/conservation-globally-important-biodiversity-and-associated-land-and-forest-resources"/>
    <hyperlink ref="C32" r:id="rId47" display="https://www.thegef.org/project/sustainable-forest-and-land-management-dry-dipterocarp-forest-ecosystems-southern-lao-pdr"/>
    <hyperlink ref="C34" r:id="rId48" display="https://www.thegef.org/project/mainstreaming-ias-prevention-control-and-management"/>
    <hyperlink ref="D35" r:id="rId49" display="https://www.thegef.org/project/strengthening-management-pa-system-better-conserve-endangered-species-and-their-habitats"/>
    <hyperlink ref="F35" r:id="rId50" display="https://www.thegef.org/project/strengthening-management-effectiveness-and-resilience-protected-areas-safeguard-biodiversity"/>
    <hyperlink ref="C35" r:id="rId51" display="https://www.thegef.org/project/conservation-and-sustainable-use-biological-diversity-priority-landscapes-oaxaca-and-chiapas"/>
    <hyperlink ref="E35" r:id="rId52" display="https://www.thegef.org/project/conservation-coastal-watersheds-achieve-multiple-global-environmental-benefits-context"/>
    <hyperlink ref="D36" r:id="rId53" display="https://www.thegef.org/project/network-managed-resource-protected-areas"/>
    <hyperlink ref="C36" r:id="rId54" display="https://www.thegef.org/project/ensuring-sustainability-and-resilience-ensure-green-landscapes-mongolia"/>
    <hyperlink ref="C37" r:id="rId55" display="https://www.thegef.org/project/strengthening-conservation-globally-threatened-species-mozambique-through-improving-0"/>
    <hyperlink ref="D38" r:id="rId56" display="https://www.thegef.org/project/strengthening-sustainability-protected-area-management"/>
    <hyperlink ref="C38" r:id="rId57" display="https://www.thegef.org/project/ridge-reef-integrated-protected-area-land-and-seascape-management-tanintharyi"/>
    <hyperlink ref="C39" r:id="rId58" display="https://www.thegef.org/project/application-ridge-reef-concept-biodiversity-conservation-and-enhancement-ecosystem-service"/>
    <hyperlink ref="C40" r:id="rId59" display="https://www.thegef.org/project/r2r-advancing-sustainable-resources-management-improve-livelihoods-and-protect-biodiversity"/>
    <hyperlink ref="C41" r:id="rId60" display="https://www.thegef.org/project/pakistan-snow-leopard-and-ecosystem-protection-program-resubmission"/>
    <hyperlink ref="C42" r:id="rId61" display="https://www.thegef.org/project/r2r-strengthening-management-effectiveness-national-system-protected-areas"/>
    <hyperlink ref="C43" r:id="rId62" display="https://www.thegef.org/project/conservation-management-and-rehabilitation-fragile-lomas-ecosystems"/>
    <hyperlink ref="D43" r:id="rId63" display="https://www.thegef.org/project/transforming-management-protected-arealandscape-complexes-strengthen-ecosystem-resilience"/>
    <hyperlink ref="C63" r:id="rId64" display="https://www.thegef.org/project/strengthening-management-effectiveness-and-generating-multiple-environmental-benefits-within"/>
    <hyperlink ref="D62" r:id="rId65" display="https://www.thegef.org/project/conservation-critical-wetland-pas-and-linked-landscapes"/>
    <hyperlink ref="C62" r:id="rId66" display="https://www.thegef.org/project/mainstreaming-natural-resource-management-and-biodiversity-conservation-objectives-socio"/>
    <hyperlink ref="C61" r:id="rId67" display="https://www.thegef.org/project/r2r-integrated-sustainable-land-and-coastal-management"/>
    <hyperlink ref="C60" r:id="rId68" display="https://www.thegef.org/project/sustainable-natural-resource-use-and-forest-management-key-mountainous-areas-important"/>
    <hyperlink ref="C58" r:id="rId69" display="https://www.thegef.org/project/enhancing-forest-nature-reserves-network-biodiversity-conservation-tanzania"/>
    <hyperlink ref="C57" r:id="rId70" display="https://www.thegef.org/project/conservation-and-sustainable-use-threatened-savanna-woodland-kidepo-critical-landscape-north"/>
    <hyperlink ref="D56" r:id="rId71" display="https://www.thegef.org/project/integrated-approach-management-forests-demonstration-high-conservation-value-forests"/>
    <hyperlink ref="C56" r:id="rId72" display="https://www.thegef.org/project/conservation-and-sustainable-management-turkeys-steppe-ecosystems"/>
    <hyperlink ref="C55" r:id="rId73" display="https://www.thegef.org/project/improving-forest-and-protected-area-management"/>
    <hyperlink ref="C54" r:id="rId74" display="https://www.thegef.org/project/securing-long-term-conservation-timor-leste-biodiversity-and-ecosystem-services-through"/>
    <hyperlink ref="C53" r:id="rId75" display="https://www.thegef.org/project/achieving-biodiversity-conservation-through-creation-and-effective-management-protected"/>
    <hyperlink ref="C52" r:id="rId76" display="https://www.thegef.org/project/maximizing-carbon-sink-capacity-and-conserving-biodiversity-through-sustainable-conservation"/>
    <hyperlink ref="C51" r:id="rId77" display="https://www.thegef.org/project/conservation-and-sustainable-use-pamir-alay-and-tian-shan-ecosystems-snow-leopard-protection"/>
    <hyperlink ref="C50" r:id="rId78" display="https://www.thegef.org/project/strengthening-national-protected-areas-system-swaziland"/>
    <hyperlink ref="C48" r:id="rId79" display="https://www.thegef.org/project/improving-management-effectiveness-protected-area-network"/>
    <hyperlink ref="C47" r:id="rId80" display="https://www.thegef.org/project/integrated-forest-management-solomon-islands"/>
    <hyperlink ref="C44" r:id="rId81" display="https://www.thegef.org/project/conserving-biodiversity-and-reducing-habitat-degradation-protected-areas-and-their-buffer"/>
    <hyperlink ref="C45" r:id="rId82" display="https://www.thegef.org/project/integrated-ecosystem-management-and-restoration-forests-south-east-coast-st-lucia"/>
    <hyperlink ref="C46" r:id="rId83" display="https://www.thegef.org/project/conserving-biodiversity-and-reducing-land-degradation-using-ridge-reef-approach"/>
    <hyperlink ref="C59" r:id="rId84" display="https://www.thegef.org/project/strengthening-effectiveness-national-protected-area-system-including-landscape-approach"/>
    <hyperlink ref="C49" r:id="rId85" display="https://www.thegef.org/project/enhancing-biodiversity-conservation-and-sustenance-ecosystem-services-environmentally"/>
  </hyperlinks>
  <pageMargins left="0.7" right="0.7" top="0.75" bottom="0.75" header="0.3" footer="0.3"/>
  <pageSetup paperSize="9" orientation="portrait" r:id="rId8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22" zoomScaleNormal="100" workbookViewId="0">
      <selection activeCell="H18" sqref="H18"/>
    </sheetView>
  </sheetViews>
  <sheetFormatPr defaultRowHeight="15" x14ac:dyDescent="0.25"/>
  <cols>
    <col min="1" max="1" width="18.85546875" style="20" customWidth="1"/>
    <col min="2" max="2" width="47" style="23" customWidth="1"/>
    <col min="3" max="3" width="10.5703125" style="20" customWidth="1"/>
    <col min="4" max="4" width="21" style="20" customWidth="1"/>
    <col min="5" max="5" width="12.140625" style="20" customWidth="1"/>
    <col min="6" max="6" width="9.140625" style="20"/>
    <col min="7" max="7" width="9.140625" style="108"/>
    <col min="8" max="16384" width="9.140625" style="20"/>
  </cols>
  <sheetData>
    <row r="1" spans="1:7" ht="60.75" thickBot="1" x14ac:dyDescent="0.3">
      <c r="A1" s="3" t="s">
        <v>255</v>
      </c>
      <c r="B1" s="60" t="s">
        <v>389</v>
      </c>
      <c r="C1" s="61" t="s">
        <v>299</v>
      </c>
      <c r="D1" s="60" t="s">
        <v>300</v>
      </c>
      <c r="E1" s="62" t="s">
        <v>301</v>
      </c>
    </row>
    <row r="2" spans="1:7" ht="39" x14ac:dyDescent="0.25">
      <c r="A2" s="81" t="s">
        <v>246</v>
      </c>
      <c r="B2" s="167" t="s">
        <v>433</v>
      </c>
      <c r="C2" s="64">
        <v>0.1</v>
      </c>
      <c r="D2" s="65">
        <f>'All Country Data'!G2</f>
        <v>51334.82</v>
      </c>
      <c r="E2" s="105" t="s">
        <v>360</v>
      </c>
      <c r="G2" s="15"/>
    </row>
    <row r="3" spans="1:7" ht="25.5" x14ac:dyDescent="0.25">
      <c r="A3" s="63" t="s">
        <v>231</v>
      </c>
      <c r="B3" s="164" t="s">
        <v>434</v>
      </c>
      <c r="C3" s="64">
        <v>0.17</v>
      </c>
      <c r="D3" s="65">
        <f>'All Country Data'!F4</f>
        <v>0</v>
      </c>
      <c r="E3" s="66">
        <v>54</v>
      </c>
      <c r="G3" s="15"/>
    </row>
    <row r="4" spans="1:7" ht="25.5" x14ac:dyDescent="0.25">
      <c r="A4" s="63" t="s">
        <v>95</v>
      </c>
      <c r="B4" s="164" t="s">
        <v>513</v>
      </c>
      <c r="C4" s="64">
        <v>0.2</v>
      </c>
      <c r="D4" s="65" t="s">
        <v>361</v>
      </c>
      <c r="E4" s="66" t="s">
        <v>362</v>
      </c>
      <c r="G4" s="15"/>
    </row>
    <row r="5" spans="1:7" ht="30" x14ac:dyDescent="0.25">
      <c r="A5" s="63" t="s">
        <v>217</v>
      </c>
      <c r="B5" s="164" t="s">
        <v>435</v>
      </c>
      <c r="C5" s="64">
        <v>0.17</v>
      </c>
      <c r="D5" s="65">
        <v>0</v>
      </c>
      <c r="E5" s="66" t="s">
        <v>302</v>
      </c>
      <c r="G5" s="15"/>
    </row>
    <row r="6" spans="1:7" ht="25.5" x14ac:dyDescent="0.25">
      <c r="A6" s="63" t="s">
        <v>16</v>
      </c>
      <c r="B6" s="164" t="s">
        <v>436</v>
      </c>
      <c r="C6" s="64">
        <v>0.13</v>
      </c>
      <c r="D6" s="65">
        <f>'All Country Data'!G12</f>
        <v>114392.60100000002</v>
      </c>
      <c r="E6" s="68" t="s">
        <v>303</v>
      </c>
      <c r="G6" s="15"/>
    </row>
    <row r="7" spans="1:7" ht="38.25" x14ac:dyDescent="0.25">
      <c r="A7" s="69" t="s">
        <v>206</v>
      </c>
      <c r="B7" s="165" t="s">
        <v>437</v>
      </c>
      <c r="C7" s="70" t="s">
        <v>315</v>
      </c>
      <c r="D7" s="71">
        <f>'All Country Data'!G17</f>
        <v>10396.752</v>
      </c>
      <c r="E7" s="72" t="s">
        <v>303</v>
      </c>
      <c r="G7" s="15"/>
    </row>
    <row r="8" spans="1:7" ht="38.25" x14ac:dyDescent="0.25">
      <c r="A8" s="63" t="s">
        <v>26</v>
      </c>
      <c r="B8" s="164" t="s">
        <v>512</v>
      </c>
      <c r="C8" s="75">
        <v>0.22</v>
      </c>
      <c r="D8" s="113">
        <f>'All Country Data'!G22</f>
        <v>26039.031999999999</v>
      </c>
      <c r="E8" s="112">
        <v>9</v>
      </c>
      <c r="G8" s="15"/>
    </row>
    <row r="9" spans="1:7" ht="25.5" x14ac:dyDescent="0.25">
      <c r="A9" s="63" t="s">
        <v>59</v>
      </c>
      <c r="B9" s="164" t="s">
        <v>511</v>
      </c>
      <c r="C9" s="64">
        <v>0.17</v>
      </c>
      <c r="D9" s="65">
        <v>0</v>
      </c>
      <c r="E9" s="66" t="s">
        <v>363</v>
      </c>
      <c r="G9" s="15"/>
    </row>
    <row r="10" spans="1:7" ht="51" x14ac:dyDescent="0.25">
      <c r="A10" s="63" t="s">
        <v>125</v>
      </c>
      <c r="B10" s="164" t="s">
        <v>510</v>
      </c>
      <c r="C10" s="64">
        <v>0.1</v>
      </c>
      <c r="D10" s="65">
        <f>'All Country Data'!G25</f>
        <v>0</v>
      </c>
      <c r="E10" s="66" t="s">
        <v>364</v>
      </c>
      <c r="G10" s="15"/>
    </row>
    <row r="11" spans="1:7" ht="25.5" x14ac:dyDescent="0.25">
      <c r="A11" s="63" t="s">
        <v>115</v>
      </c>
      <c r="B11" s="164" t="s">
        <v>509</v>
      </c>
      <c r="C11" s="64">
        <v>0.25</v>
      </c>
      <c r="D11" s="65" t="s">
        <v>369</v>
      </c>
      <c r="E11" s="66" t="s">
        <v>365</v>
      </c>
      <c r="G11" s="15"/>
    </row>
    <row r="12" spans="1:7" ht="30" x14ac:dyDescent="0.25">
      <c r="A12" s="63" t="s">
        <v>127</v>
      </c>
      <c r="B12" s="164" t="s">
        <v>508</v>
      </c>
      <c r="C12" s="74" t="s">
        <v>367</v>
      </c>
      <c r="D12" s="65">
        <f>'All Country Data'!G33</f>
        <v>314508.48556117754</v>
      </c>
      <c r="E12" s="66">
        <v>68</v>
      </c>
      <c r="G12" s="96"/>
    </row>
    <row r="13" spans="1:7" ht="25.5" x14ac:dyDescent="0.25">
      <c r="A13" s="63" t="s">
        <v>41</v>
      </c>
      <c r="B13" s="164" t="s">
        <v>507</v>
      </c>
      <c r="C13" s="74">
        <v>0.1</v>
      </c>
      <c r="D13" s="65">
        <f>'All Country Data'!G39</f>
        <v>655.09000000000015</v>
      </c>
      <c r="E13" s="66" t="s">
        <v>368</v>
      </c>
      <c r="G13" s="15"/>
    </row>
    <row r="14" spans="1:7" ht="25.5" x14ac:dyDescent="0.25">
      <c r="A14" s="63" t="s">
        <v>65</v>
      </c>
      <c r="B14" s="164" t="s">
        <v>506</v>
      </c>
      <c r="C14" s="74">
        <v>0.2</v>
      </c>
      <c r="D14" s="65" t="s">
        <v>369</v>
      </c>
      <c r="E14" s="66" t="s">
        <v>370</v>
      </c>
      <c r="G14" s="15"/>
    </row>
    <row r="15" spans="1:7" ht="25.5" x14ac:dyDescent="0.25">
      <c r="A15" s="63" t="s">
        <v>6</v>
      </c>
      <c r="B15" s="164" t="s">
        <v>498</v>
      </c>
      <c r="C15" s="64">
        <v>0.17</v>
      </c>
      <c r="D15" s="65">
        <f>'All Country Data'!G43</f>
        <v>728164.59300000011</v>
      </c>
      <c r="E15" s="66" t="s">
        <v>305</v>
      </c>
      <c r="G15" s="15"/>
    </row>
    <row r="16" spans="1:7" ht="26.25" x14ac:dyDescent="0.25">
      <c r="A16" s="106" t="s">
        <v>29</v>
      </c>
      <c r="B16" s="23" t="s">
        <v>505</v>
      </c>
      <c r="C16" s="64">
        <v>0.15</v>
      </c>
      <c r="D16" s="65">
        <f>'All Country Data'!G48</f>
        <v>0</v>
      </c>
      <c r="E16" s="66">
        <v>10</v>
      </c>
      <c r="G16" s="15"/>
    </row>
    <row r="17" spans="1:7" ht="25.5" x14ac:dyDescent="0.25">
      <c r="A17" s="63" t="s">
        <v>114</v>
      </c>
      <c r="B17" s="164" t="s">
        <v>504</v>
      </c>
      <c r="C17" s="64">
        <v>0.17</v>
      </c>
      <c r="D17" s="71" t="s">
        <v>361</v>
      </c>
      <c r="E17" s="66" t="s">
        <v>372</v>
      </c>
      <c r="G17" s="15"/>
    </row>
    <row r="18" spans="1:7" ht="38.25" x14ac:dyDescent="0.25">
      <c r="A18" s="63" t="s">
        <v>12</v>
      </c>
      <c r="B18" s="164" t="s">
        <v>503</v>
      </c>
      <c r="C18" s="75">
        <v>0.2</v>
      </c>
      <c r="D18" s="65">
        <f>'All Country Data'!G55</f>
        <v>0</v>
      </c>
      <c r="E18" s="66">
        <v>103</v>
      </c>
      <c r="G18" s="15"/>
    </row>
    <row r="19" spans="1:7" ht="25.5" x14ac:dyDescent="0.25">
      <c r="A19" s="63" t="s">
        <v>150</v>
      </c>
      <c r="B19" s="164" t="s">
        <v>502</v>
      </c>
      <c r="C19" s="75" t="s">
        <v>373</v>
      </c>
      <c r="D19" s="71">
        <f>'All Country Data'!G57</f>
        <v>0</v>
      </c>
      <c r="E19" s="66" t="s">
        <v>374</v>
      </c>
      <c r="G19" s="15"/>
    </row>
    <row r="20" spans="1:7" x14ac:dyDescent="0.25">
      <c r="A20" s="73" t="s">
        <v>15</v>
      </c>
      <c r="B20" s="165" t="s">
        <v>501</v>
      </c>
      <c r="C20" s="75">
        <v>0.2</v>
      </c>
      <c r="D20" s="65">
        <f>'All Country Data'!G60</f>
        <v>2698.0900000000038</v>
      </c>
      <c r="E20" s="66" t="s">
        <v>306</v>
      </c>
      <c r="G20" s="15"/>
    </row>
    <row r="21" spans="1:7" ht="45" x14ac:dyDescent="0.25">
      <c r="A21" s="73" t="s">
        <v>109</v>
      </c>
      <c r="B21" s="165" t="s">
        <v>500</v>
      </c>
      <c r="C21" s="75">
        <v>0.08</v>
      </c>
      <c r="D21" s="65">
        <f>'All Country Data'!G64</f>
        <v>0</v>
      </c>
      <c r="E21" s="66" t="s">
        <v>375</v>
      </c>
      <c r="G21" s="15"/>
    </row>
    <row r="22" spans="1:7" ht="45" x14ac:dyDescent="0.25">
      <c r="A22" s="73" t="s">
        <v>199</v>
      </c>
      <c r="B22" s="165" t="s">
        <v>499</v>
      </c>
      <c r="C22" s="75">
        <v>0.17</v>
      </c>
      <c r="D22" s="65">
        <f>'All Country Data'!G65</f>
        <v>45534.640500000052</v>
      </c>
      <c r="E22" s="66" t="s">
        <v>376</v>
      </c>
      <c r="G22" s="15"/>
    </row>
    <row r="23" spans="1:7" ht="25.5" x14ac:dyDescent="0.25">
      <c r="A23" s="63" t="s">
        <v>82</v>
      </c>
      <c r="B23" s="164" t="s">
        <v>498</v>
      </c>
      <c r="C23" s="64">
        <v>0.2</v>
      </c>
      <c r="D23" s="65">
        <f>'All Country Data'!G68</f>
        <v>0</v>
      </c>
      <c r="E23" s="66" t="s">
        <v>307</v>
      </c>
      <c r="G23" s="15"/>
    </row>
    <row r="24" spans="1:7" ht="25.5" x14ac:dyDescent="0.25">
      <c r="A24" s="63" t="s">
        <v>157</v>
      </c>
      <c r="B24" s="164" t="s">
        <v>497</v>
      </c>
      <c r="C24" s="64">
        <v>0.17</v>
      </c>
      <c r="D24" s="65" t="s">
        <v>361</v>
      </c>
      <c r="E24" s="111" t="s">
        <v>304</v>
      </c>
      <c r="G24" s="15"/>
    </row>
    <row r="25" spans="1:7" ht="25.5" x14ac:dyDescent="0.25">
      <c r="A25" s="63" t="s">
        <v>194</v>
      </c>
      <c r="B25" s="164" t="s">
        <v>496</v>
      </c>
      <c r="C25" s="76" t="s">
        <v>377</v>
      </c>
      <c r="D25" s="65">
        <f>'All Country Data'!G74</f>
        <v>0</v>
      </c>
      <c r="E25" s="66" t="s">
        <v>378</v>
      </c>
      <c r="G25" s="15"/>
    </row>
    <row r="26" spans="1:7" ht="38.25" x14ac:dyDescent="0.25">
      <c r="A26" s="63" t="s">
        <v>174</v>
      </c>
      <c r="B26" s="164" t="s">
        <v>495</v>
      </c>
      <c r="C26" s="76">
        <v>0.2</v>
      </c>
      <c r="D26" s="65">
        <f>'All Country Data'!G76</f>
        <v>17315.839999999997</v>
      </c>
      <c r="E26" s="66" t="s">
        <v>379</v>
      </c>
      <c r="G26" s="15"/>
    </row>
    <row r="27" spans="1:7" ht="51" x14ac:dyDescent="0.25">
      <c r="A27" s="63" t="s">
        <v>238</v>
      </c>
      <c r="B27" s="164" t="s">
        <v>494</v>
      </c>
      <c r="C27" s="64">
        <v>0.17</v>
      </c>
      <c r="D27" s="65">
        <f>'All Country Data'!G80</f>
        <v>6793.2799999999988</v>
      </c>
      <c r="E27" s="68">
        <v>24</v>
      </c>
      <c r="G27" s="15"/>
    </row>
    <row r="28" spans="1:7" ht="25.5" x14ac:dyDescent="0.25">
      <c r="A28" s="63" t="s">
        <v>308</v>
      </c>
      <c r="B28" s="164" t="s">
        <v>493</v>
      </c>
      <c r="C28" s="64">
        <v>0.05</v>
      </c>
      <c r="D28" s="65">
        <f>'All Country Data'!G86</f>
        <v>0</v>
      </c>
      <c r="E28" s="66" t="s">
        <v>309</v>
      </c>
      <c r="G28" s="15"/>
    </row>
    <row r="29" spans="1:7" ht="25.5" x14ac:dyDescent="0.25">
      <c r="A29" s="63" t="s">
        <v>73</v>
      </c>
      <c r="B29" s="164" t="s">
        <v>492</v>
      </c>
      <c r="C29" s="64">
        <v>0.12</v>
      </c>
      <c r="D29" s="65">
        <f>'All Country Data'!G87</f>
        <v>2457.3299999999995</v>
      </c>
      <c r="E29" s="66">
        <v>32</v>
      </c>
      <c r="G29" s="15"/>
    </row>
    <row r="30" spans="1:7" ht="25.5" x14ac:dyDescent="0.25">
      <c r="A30" s="63" t="s">
        <v>202</v>
      </c>
      <c r="B30" s="164" t="s">
        <v>491</v>
      </c>
      <c r="C30" s="64">
        <v>0.17</v>
      </c>
      <c r="D30" s="65" t="s">
        <v>361</v>
      </c>
      <c r="E30" s="66" t="s">
        <v>380</v>
      </c>
      <c r="G30" s="15"/>
    </row>
    <row r="31" spans="1:7" ht="51" x14ac:dyDescent="0.25">
      <c r="A31" s="207" t="s">
        <v>196</v>
      </c>
      <c r="B31" s="165" t="s">
        <v>526</v>
      </c>
      <c r="C31" s="208">
        <v>0.4</v>
      </c>
      <c r="D31" s="65" t="s">
        <v>381</v>
      </c>
      <c r="E31" s="66">
        <v>99</v>
      </c>
      <c r="G31" s="15"/>
    </row>
    <row r="32" spans="1:7" ht="25.5" x14ac:dyDescent="0.25">
      <c r="A32" s="63" t="s">
        <v>11</v>
      </c>
      <c r="B32" s="165" t="s">
        <v>490</v>
      </c>
      <c r="C32" s="64">
        <v>0.17</v>
      </c>
      <c r="D32" s="65">
        <f>'All Country Data'!G98</f>
        <v>0</v>
      </c>
      <c r="E32" s="77" t="s">
        <v>310</v>
      </c>
      <c r="G32" s="15"/>
    </row>
    <row r="33" spans="1:7" ht="25.5" x14ac:dyDescent="0.25">
      <c r="A33" s="63" t="s">
        <v>103</v>
      </c>
      <c r="B33" s="165" t="s">
        <v>489</v>
      </c>
      <c r="C33" s="64">
        <v>0.17</v>
      </c>
      <c r="D33" s="65">
        <f>'All Country Data'!G100</f>
        <v>17450.050999999999</v>
      </c>
      <c r="E33" s="77" t="s">
        <v>382</v>
      </c>
      <c r="G33" s="15"/>
    </row>
    <row r="34" spans="1:7" ht="30" x14ac:dyDescent="0.25">
      <c r="A34" s="63" t="s">
        <v>9</v>
      </c>
      <c r="B34" s="165" t="s">
        <v>488</v>
      </c>
      <c r="C34" s="64">
        <v>0.2</v>
      </c>
      <c r="D34" s="65" t="s">
        <v>361</v>
      </c>
      <c r="E34" s="77" t="s">
        <v>383</v>
      </c>
      <c r="G34" s="15"/>
    </row>
    <row r="35" spans="1:7" ht="25.5" x14ac:dyDescent="0.25">
      <c r="A35" s="63" t="s">
        <v>190</v>
      </c>
      <c r="B35" s="164" t="s">
        <v>463</v>
      </c>
      <c r="C35" s="64">
        <v>0.17</v>
      </c>
      <c r="D35" s="65">
        <f>'All Country Data'!G115</f>
        <v>120.01300000000015</v>
      </c>
      <c r="E35" s="72" t="s">
        <v>371</v>
      </c>
      <c r="G35" s="15"/>
    </row>
    <row r="36" spans="1:7" ht="25.5" x14ac:dyDescent="0.25">
      <c r="A36" s="63" t="s">
        <v>153</v>
      </c>
      <c r="B36" s="166" t="s">
        <v>487</v>
      </c>
      <c r="C36" s="64">
        <v>0.17</v>
      </c>
      <c r="D36" s="65">
        <f>'All Country Data'!G116</f>
        <v>0</v>
      </c>
      <c r="E36" s="78" t="s">
        <v>384</v>
      </c>
      <c r="G36" s="15"/>
    </row>
    <row r="37" spans="1:7" ht="38.25" x14ac:dyDescent="0.25">
      <c r="A37" s="63" t="s">
        <v>43</v>
      </c>
      <c r="B37" s="164" t="s">
        <v>486</v>
      </c>
      <c r="C37" s="64">
        <v>0.02</v>
      </c>
      <c r="D37" s="65">
        <f>'All Country Data'!G118</f>
        <v>172.79600000000005</v>
      </c>
      <c r="E37" s="66" t="s">
        <v>385</v>
      </c>
      <c r="G37" s="15"/>
    </row>
    <row r="38" spans="1:7" ht="25.5" x14ac:dyDescent="0.25">
      <c r="A38" s="63" t="s">
        <v>80</v>
      </c>
      <c r="B38" s="164" t="s">
        <v>485</v>
      </c>
      <c r="C38" s="64">
        <v>0.1</v>
      </c>
      <c r="D38" s="65" t="s">
        <v>386</v>
      </c>
      <c r="E38" s="66">
        <v>16</v>
      </c>
      <c r="G38" s="15"/>
    </row>
    <row r="39" spans="1:7" ht="38.25" x14ac:dyDescent="0.25">
      <c r="A39" s="63" t="s">
        <v>23</v>
      </c>
      <c r="B39" s="164" t="s">
        <v>484</v>
      </c>
      <c r="C39" s="64">
        <v>0.04</v>
      </c>
      <c r="D39" s="65">
        <f>'All Country Data'!G129</f>
        <v>0</v>
      </c>
      <c r="E39" s="68" t="s">
        <v>387</v>
      </c>
      <c r="G39" s="15"/>
    </row>
    <row r="40" spans="1:7" ht="25.5" x14ac:dyDescent="0.25">
      <c r="A40" s="63" t="s">
        <v>20</v>
      </c>
      <c r="B40" s="164" t="s">
        <v>483</v>
      </c>
      <c r="C40" s="64">
        <v>0.1</v>
      </c>
      <c r="D40" s="65" t="s">
        <v>369</v>
      </c>
      <c r="E40" s="66" t="s">
        <v>388</v>
      </c>
      <c r="G40" s="15"/>
    </row>
    <row r="41" spans="1:7" ht="25.5" x14ac:dyDescent="0.25">
      <c r="A41" s="63" t="s">
        <v>128</v>
      </c>
      <c r="B41" s="164" t="s">
        <v>482</v>
      </c>
      <c r="C41" s="64">
        <v>0.2</v>
      </c>
      <c r="D41" s="65" t="s">
        <v>369</v>
      </c>
      <c r="E41" s="66" t="s">
        <v>390</v>
      </c>
      <c r="G41" s="15"/>
    </row>
    <row r="42" spans="1:7" ht="26.25" x14ac:dyDescent="0.25">
      <c r="A42" s="63" t="s">
        <v>240</v>
      </c>
      <c r="B42" s="23" t="s">
        <v>481</v>
      </c>
      <c r="C42" s="64">
        <v>0.15</v>
      </c>
      <c r="D42" s="65">
        <f>'All Country Data'!G138</f>
        <v>85057.61500000002</v>
      </c>
      <c r="E42" s="66" t="s">
        <v>403</v>
      </c>
      <c r="G42" s="15"/>
    </row>
    <row r="43" spans="1:7" ht="25.5" x14ac:dyDescent="0.25">
      <c r="A43" s="63" t="s">
        <v>71</v>
      </c>
      <c r="B43" s="165" t="s">
        <v>480</v>
      </c>
      <c r="C43" s="64">
        <v>0.13</v>
      </c>
      <c r="D43" s="65">
        <f>'All Country Data'!G1390</f>
        <v>0</v>
      </c>
      <c r="E43" s="66">
        <v>8</v>
      </c>
      <c r="G43" s="15"/>
    </row>
    <row r="44" spans="1:7" ht="25.5" x14ac:dyDescent="0.25">
      <c r="A44" s="63" t="s">
        <v>79</v>
      </c>
      <c r="B44" s="164" t="s">
        <v>479</v>
      </c>
      <c r="C44" s="64">
        <v>0.16</v>
      </c>
      <c r="D44" s="65" t="s">
        <v>369</v>
      </c>
      <c r="E44" s="66" t="s">
        <v>406</v>
      </c>
      <c r="G44" s="15"/>
    </row>
    <row r="45" spans="1:7" ht="25.5" x14ac:dyDescent="0.25">
      <c r="A45" s="63" t="s">
        <v>5</v>
      </c>
      <c r="B45" s="164" t="s">
        <v>463</v>
      </c>
      <c r="C45" s="64">
        <v>0.17</v>
      </c>
      <c r="D45" s="65">
        <f>'All Country Data'!G145</f>
        <v>2557.8571053889973</v>
      </c>
      <c r="E45" s="66">
        <v>294</v>
      </c>
      <c r="G45" s="15"/>
    </row>
    <row r="46" spans="1:7" ht="25.5" x14ac:dyDescent="0.25">
      <c r="A46" s="63" t="s">
        <v>205</v>
      </c>
      <c r="B46" s="164" t="s">
        <v>478</v>
      </c>
      <c r="C46" s="64">
        <v>0.3</v>
      </c>
      <c r="D46" s="65" t="s">
        <v>369</v>
      </c>
      <c r="E46" s="66" t="s">
        <v>407</v>
      </c>
      <c r="G46" s="15"/>
    </row>
    <row r="47" spans="1:7" ht="25.5" x14ac:dyDescent="0.25">
      <c r="A47" s="63" t="s">
        <v>105</v>
      </c>
      <c r="B47" s="164" t="s">
        <v>477</v>
      </c>
      <c r="C47" s="64">
        <v>0.17</v>
      </c>
      <c r="D47" s="65">
        <f>'All Country Data'!G149</f>
        <v>0</v>
      </c>
      <c r="E47" s="66">
        <v>76</v>
      </c>
      <c r="G47" s="15"/>
    </row>
    <row r="48" spans="1:7" ht="38.25" x14ac:dyDescent="0.25">
      <c r="A48" s="63" t="s">
        <v>49</v>
      </c>
      <c r="B48" s="164" t="s">
        <v>476</v>
      </c>
      <c r="C48" s="64">
        <v>0.17</v>
      </c>
      <c r="D48" s="65">
        <v>0</v>
      </c>
      <c r="E48" s="66" t="s">
        <v>408</v>
      </c>
      <c r="G48" s="15"/>
    </row>
    <row r="49" spans="1:7" ht="25.5" x14ac:dyDescent="0.25">
      <c r="A49" s="63" t="s">
        <v>35</v>
      </c>
      <c r="B49" s="164" t="s">
        <v>475</v>
      </c>
      <c r="C49" s="64">
        <v>0.08</v>
      </c>
      <c r="D49" s="65">
        <f>'All Country Data'!G153</f>
        <v>0</v>
      </c>
      <c r="E49" s="66" t="s">
        <v>365</v>
      </c>
      <c r="G49" s="15"/>
    </row>
    <row r="50" spans="1:7" ht="38.25" x14ac:dyDescent="0.25">
      <c r="A50" s="82" t="s">
        <v>165</v>
      </c>
      <c r="B50" s="165" t="s">
        <v>474</v>
      </c>
      <c r="C50" s="64">
        <v>0.3</v>
      </c>
      <c r="D50" s="65" t="s">
        <v>369</v>
      </c>
      <c r="E50" s="66">
        <v>23</v>
      </c>
      <c r="G50" s="15"/>
    </row>
    <row r="51" spans="1:7" ht="25.5" x14ac:dyDescent="0.25">
      <c r="A51" s="63" t="s">
        <v>106</v>
      </c>
      <c r="B51" s="164" t="s">
        <v>473</v>
      </c>
      <c r="C51" s="64" t="s">
        <v>404</v>
      </c>
      <c r="D51" s="117">
        <f>'All Country Data'!G163</f>
        <v>0</v>
      </c>
      <c r="E51" s="66" t="s">
        <v>409</v>
      </c>
      <c r="G51" s="15"/>
    </row>
    <row r="52" spans="1:7" ht="38.25" x14ac:dyDescent="0.25">
      <c r="A52" s="63" t="s">
        <v>185</v>
      </c>
      <c r="B52" s="164" t="s">
        <v>472</v>
      </c>
      <c r="C52" s="64">
        <v>0.17</v>
      </c>
      <c r="D52" s="65">
        <f>'All Country Data'!G172</f>
        <v>42115.728000000003</v>
      </c>
      <c r="E52" s="66">
        <v>90</v>
      </c>
      <c r="G52" s="15"/>
    </row>
    <row r="53" spans="1:7" ht="51.75" x14ac:dyDescent="0.25">
      <c r="A53" s="63" t="s">
        <v>253</v>
      </c>
      <c r="B53" s="23" t="s">
        <v>471</v>
      </c>
      <c r="C53" s="64">
        <v>0.17</v>
      </c>
      <c r="D53" s="65" t="s">
        <v>394</v>
      </c>
      <c r="E53" s="66" t="s">
        <v>410</v>
      </c>
      <c r="G53" s="15"/>
    </row>
    <row r="54" spans="1:7" ht="25.5" x14ac:dyDescent="0.25">
      <c r="A54" s="63" t="s">
        <v>18</v>
      </c>
      <c r="B54" s="164" t="s">
        <v>470</v>
      </c>
      <c r="C54" s="64">
        <v>0.17</v>
      </c>
      <c r="D54" s="65">
        <f>'All Country Data'!G180</f>
        <v>5567.1929999999993</v>
      </c>
      <c r="E54" s="66" t="s">
        <v>405</v>
      </c>
      <c r="G54" s="15"/>
    </row>
    <row r="55" spans="1:7" ht="30" x14ac:dyDescent="0.25">
      <c r="A55" s="63" t="s">
        <v>112</v>
      </c>
      <c r="B55" s="164" t="s">
        <v>469</v>
      </c>
      <c r="C55" s="75">
        <v>0.08</v>
      </c>
      <c r="D55" s="65">
        <f>'All Country Data'!G181</f>
        <v>0</v>
      </c>
      <c r="E55" s="66">
        <v>34</v>
      </c>
      <c r="G55" s="15"/>
    </row>
    <row r="56" spans="1:7" ht="63.75" x14ac:dyDescent="0.25">
      <c r="A56" s="63" t="s">
        <v>52</v>
      </c>
      <c r="B56" s="164" t="s">
        <v>515</v>
      </c>
      <c r="C56" s="110">
        <v>0.17</v>
      </c>
      <c r="D56" s="65">
        <f>'All Country Data'!G184</f>
        <v>1228566.0350000001</v>
      </c>
      <c r="E56" s="66" t="s">
        <v>402</v>
      </c>
      <c r="G56" s="15"/>
    </row>
    <row r="57" spans="1:7" ht="38.25" x14ac:dyDescent="0.25">
      <c r="A57" s="63" t="s">
        <v>45</v>
      </c>
      <c r="B57" s="164" t="s">
        <v>468</v>
      </c>
      <c r="C57" s="110">
        <v>0.10299999999999999</v>
      </c>
      <c r="D57" s="65">
        <f>'All Country Data'!G185</f>
        <v>301.5662999999995</v>
      </c>
      <c r="E57" s="66" t="s">
        <v>401</v>
      </c>
      <c r="G57" s="15"/>
    </row>
    <row r="58" spans="1:7" ht="25.5" x14ac:dyDescent="0.25">
      <c r="A58" s="63" t="s">
        <v>138</v>
      </c>
      <c r="B58" s="164" t="s">
        <v>463</v>
      </c>
      <c r="C58" s="64">
        <v>0.17</v>
      </c>
      <c r="D58" s="65">
        <f>'All Country Data'!G193</f>
        <v>295.96300000000008</v>
      </c>
      <c r="E58" s="66">
        <v>36</v>
      </c>
      <c r="G58" s="15"/>
    </row>
    <row r="59" spans="1:7" ht="38.25" x14ac:dyDescent="0.25">
      <c r="A59" s="63" t="s">
        <v>146</v>
      </c>
      <c r="B59" s="164" t="s">
        <v>467</v>
      </c>
      <c r="C59" s="64">
        <v>0.5</v>
      </c>
      <c r="D59" s="65">
        <f>'All Country Data'!G199</f>
        <v>38.449999999999989</v>
      </c>
      <c r="E59" s="66">
        <v>63</v>
      </c>
      <c r="G59" s="15"/>
    </row>
    <row r="60" spans="1:7" ht="25.5" x14ac:dyDescent="0.25">
      <c r="A60" s="63" t="s">
        <v>192</v>
      </c>
      <c r="B60" s="164" t="s">
        <v>466</v>
      </c>
      <c r="C60" s="64">
        <v>0.1</v>
      </c>
      <c r="D60" s="65">
        <f>'All Country Data'!G205</f>
        <v>1274.1599999999999</v>
      </c>
      <c r="E60" s="66" t="s">
        <v>400</v>
      </c>
      <c r="G60" s="15"/>
    </row>
    <row r="61" spans="1:7" ht="25.5" x14ac:dyDescent="0.25">
      <c r="A61" s="63" t="s">
        <v>93</v>
      </c>
      <c r="B61" s="164" t="s">
        <v>465</v>
      </c>
      <c r="C61" s="64">
        <v>0.17</v>
      </c>
      <c r="D61" s="65" t="s">
        <v>398</v>
      </c>
      <c r="E61" s="66" t="s">
        <v>399</v>
      </c>
      <c r="G61" s="15"/>
    </row>
    <row r="62" spans="1:7" x14ac:dyDescent="0.25">
      <c r="A62" s="63" t="s">
        <v>7</v>
      </c>
      <c r="B62" s="164" t="s">
        <v>464</v>
      </c>
      <c r="C62" s="64">
        <v>0.13200000000000001</v>
      </c>
      <c r="D62" s="65">
        <v>0</v>
      </c>
      <c r="E62" s="66" t="s">
        <v>397</v>
      </c>
      <c r="G62" s="15"/>
    </row>
    <row r="63" spans="1:7" ht="25.5" x14ac:dyDescent="0.25">
      <c r="A63" s="63" t="s">
        <v>14</v>
      </c>
      <c r="B63" s="164" t="s">
        <v>463</v>
      </c>
      <c r="C63" s="64">
        <v>0.17</v>
      </c>
      <c r="D63" s="113">
        <f>'All Country Data'!G213</f>
        <v>269414.80600000004</v>
      </c>
      <c r="E63" s="66" t="s">
        <v>309</v>
      </c>
      <c r="G63" s="15"/>
    </row>
    <row r="64" spans="1:7" ht="25.5" x14ac:dyDescent="0.25">
      <c r="A64" s="63" t="s">
        <v>66</v>
      </c>
      <c r="B64" s="164" t="s">
        <v>462</v>
      </c>
      <c r="C64" s="64">
        <v>0.2</v>
      </c>
      <c r="D64" s="65" t="s">
        <v>381</v>
      </c>
      <c r="E64" s="66" t="s">
        <v>396</v>
      </c>
      <c r="G64" s="15"/>
    </row>
    <row r="65" spans="1:7" ht="38.25" x14ac:dyDescent="0.25">
      <c r="A65" s="63" t="s">
        <v>249</v>
      </c>
      <c r="B65" s="164" t="s">
        <v>461</v>
      </c>
      <c r="C65" s="64">
        <v>0.2</v>
      </c>
      <c r="D65" s="65">
        <f>'All Country Data'!G217</f>
        <v>25492.490000000005</v>
      </c>
      <c r="E65" s="66">
        <v>8</v>
      </c>
      <c r="G65" s="15"/>
    </row>
    <row r="66" spans="1:7" ht="25.5" x14ac:dyDescent="0.25">
      <c r="A66" s="63" t="s">
        <v>111</v>
      </c>
      <c r="B66" s="164" t="s">
        <v>443</v>
      </c>
      <c r="C66" s="64">
        <v>0.17</v>
      </c>
      <c r="D66" s="65">
        <f>'All Country Data'!G234</f>
        <v>1319.6330000000016</v>
      </c>
      <c r="E66" s="66" t="s">
        <v>393</v>
      </c>
      <c r="G66" s="15"/>
    </row>
    <row r="67" spans="1:7" ht="25.5" x14ac:dyDescent="0.25">
      <c r="A67" s="63" t="s">
        <v>44</v>
      </c>
      <c r="B67" s="164" t="s">
        <v>442</v>
      </c>
      <c r="C67" s="64">
        <v>0.15</v>
      </c>
      <c r="D67" s="65">
        <v>0</v>
      </c>
      <c r="E67" s="107" t="s">
        <v>395</v>
      </c>
      <c r="G67" s="15"/>
    </row>
    <row r="68" spans="1:7" ht="30" x14ac:dyDescent="0.25">
      <c r="A68" s="63" t="s">
        <v>251</v>
      </c>
      <c r="B68" s="164" t="s">
        <v>441</v>
      </c>
      <c r="C68" s="64">
        <v>0.12</v>
      </c>
      <c r="D68" s="65" t="s">
        <v>394</v>
      </c>
      <c r="E68" s="79">
        <v>43</v>
      </c>
      <c r="G68" s="15"/>
    </row>
    <row r="69" spans="1:7" ht="25.5" x14ac:dyDescent="0.25">
      <c r="A69" s="63" t="s">
        <v>24</v>
      </c>
      <c r="B69" s="164" t="s">
        <v>440</v>
      </c>
      <c r="C69" s="64">
        <v>0.15</v>
      </c>
      <c r="D69" s="65">
        <f>'All Country Data'!G242</f>
        <v>0</v>
      </c>
      <c r="E69" s="66">
        <v>38</v>
      </c>
      <c r="G69" s="15"/>
    </row>
    <row r="70" spans="1:7" ht="51" x14ac:dyDescent="0.25">
      <c r="A70" s="63" t="s">
        <v>51</v>
      </c>
      <c r="B70" s="164" t="s">
        <v>439</v>
      </c>
      <c r="C70" s="64">
        <v>0.09</v>
      </c>
      <c r="D70" s="65">
        <f>'All Country Data'!G246</f>
        <v>289.23600000000079</v>
      </c>
      <c r="E70" s="72" t="s">
        <v>392</v>
      </c>
      <c r="G70" s="15"/>
    </row>
    <row r="71" spans="1:7" ht="25.5" x14ac:dyDescent="0.25">
      <c r="A71" s="69" t="s">
        <v>22</v>
      </c>
      <c r="B71" s="164" t="s">
        <v>438</v>
      </c>
      <c r="C71" s="64">
        <v>0.28000000000000003</v>
      </c>
      <c r="D71" s="65">
        <f>'All Country Data'!G251</f>
        <v>3083.4960000000137</v>
      </c>
      <c r="E71" s="72" t="s">
        <v>391</v>
      </c>
      <c r="G71" s="15"/>
    </row>
    <row r="72" spans="1:7" ht="15.75" thickBot="1" x14ac:dyDescent="0.3">
      <c r="E72" s="116"/>
      <c r="G72" s="16"/>
    </row>
    <row r="73" spans="1:7" ht="15.75" thickBot="1" x14ac:dyDescent="0.3">
      <c r="A73" s="63"/>
      <c r="B73" s="164"/>
      <c r="C73" s="184" t="s">
        <v>267</v>
      </c>
      <c r="D73" s="200">
        <f>SUM(D2:D71)</f>
        <v>3003407.6424665675</v>
      </c>
      <c r="E73" s="72"/>
    </row>
    <row r="76" spans="1:7" x14ac:dyDescent="0.25">
      <c r="A76" s="108" t="s">
        <v>527</v>
      </c>
      <c r="C76" s="114"/>
      <c r="D76" s="114"/>
    </row>
    <row r="77" spans="1:7" x14ac:dyDescent="0.25">
      <c r="A77" s="108" t="s">
        <v>528</v>
      </c>
      <c r="C77" s="114"/>
      <c r="D77" s="115"/>
    </row>
    <row r="78" spans="1:7" x14ac:dyDescent="0.25">
      <c r="A78" s="108" t="s">
        <v>514</v>
      </c>
      <c r="C78" s="114"/>
      <c r="D78" s="114"/>
    </row>
    <row r="79" spans="1:7" x14ac:dyDescent="0.25">
      <c r="A79" s="108" t="s">
        <v>529</v>
      </c>
      <c r="B79" s="183"/>
      <c r="C79" s="114"/>
      <c r="D79" s="114"/>
    </row>
    <row r="80" spans="1:7" x14ac:dyDescent="0.25">
      <c r="A80" s="108"/>
    </row>
  </sheetData>
  <autoFilter ref="A1:E73">
    <sortState ref="A2:E73">
      <sortCondition ref="A1:A73"/>
    </sortState>
  </autoFilter>
  <conditionalFormatting sqref="A6 A69:A72 A28:A30 B36:B41 A32:A50">
    <cfRule type="notContainsBlanks" dxfId="41" priority="55">
      <formula>LEN(TRIM(A6))&gt;0</formula>
    </cfRule>
  </conditionalFormatting>
  <conditionalFormatting sqref="A7:A10 A12:A14">
    <cfRule type="notContainsBlanks" dxfId="40" priority="54">
      <formula>LEN(TRIM(A7))&gt;0</formula>
    </cfRule>
  </conditionalFormatting>
  <conditionalFormatting sqref="A15:A27">
    <cfRule type="notContainsBlanks" dxfId="39" priority="53">
      <formula>LEN(TRIM(A15))&gt;0</formula>
    </cfRule>
  </conditionalFormatting>
  <conditionalFormatting sqref="E28 E40 E42 B42:C42 B43:B50">
    <cfRule type="notContainsBlanks" dxfId="38" priority="52">
      <formula>LEN(TRIM(B28))&gt;0</formula>
    </cfRule>
  </conditionalFormatting>
  <conditionalFormatting sqref="D42">
    <cfRule type="notContainsBlanks" dxfId="37" priority="51">
      <formula>LEN(TRIM(D42))&gt;0</formula>
    </cfRule>
  </conditionalFormatting>
  <conditionalFormatting sqref="B65:C65 A51:A67 B60:B64 B66:B67">
    <cfRule type="notContainsBlanks" dxfId="36" priority="50">
      <formula>LEN(TRIM(A51))&gt;0</formula>
    </cfRule>
  </conditionalFormatting>
  <conditionalFormatting sqref="E69">
    <cfRule type="notContainsBlanks" dxfId="35" priority="48">
      <formula>LEN(TRIM(E69))&gt;0</formula>
    </cfRule>
  </conditionalFormatting>
  <conditionalFormatting sqref="E70">
    <cfRule type="notContainsBlanks" dxfId="34" priority="46">
      <formula>LEN(TRIM(E70))&gt;0</formula>
    </cfRule>
  </conditionalFormatting>
  <conditionalFormatting sqref="E29">
    <cfRule type="notContainsBlanks" dxfId="33" priority="45">
      <formula>LEN(TRIM(E29))&gt;0</formula>
    </cfRule>
  </conditionalFormatting>
  <conditionalFormatting sqref="E30">
    <cfRule type="notContainsBlanks" dxfId="32" priority="42">
      <formula>LEN(TRIM(E30))&gt;0</formula>
    </cfRule>
  </conditionalFormatting>
  <conditionalFormatting sqref="E32">
    <cfRule type="notContainsBlanks" dxfId="31" priority="41">
      <formula>LEN(TRIM(E32))&gt;0</formula>
    </cfRule>
  </conditionalFormatting>
  <conditionalFormatting sqref="E33">
    <cfRule type="notContainsBlanks" dxfId="30" priority="40">
      <formula>LEN(TRIM(E33))&gt;0</formula>
    </cfRule>
  </conditionalFormatting>
  <conditionalFormatting sqref="E34">
    <cfRule type="notContainsBlanks" dxfId="29" priority="39">
      <formula>LEN(TRIM(E34))&gt;0</formula>
    </cfRule>
  </conditionalFormatting>
  <conditionalFormatting sqref="E35">
    <cfRule type="notContainsBlanks" dxfId="28" priority="38">
      <formula>LEN(TRIM(E35))&gt;0</formula>
    </cfRule>
  </conditionalFormatting>
  <conditionalFormatting sqref="E36 C36">
    <cfRule type="notContainsBlanks" dxfId="27" priority="37">
      <formula>LEN(TRIM(C36))&gt;0</formula>
    </cfRule>
  </conditionalFormatting>
  <conditionalFormatting sqref="E37">
    <cfRule type="notContainsBlanks" dxfId="26" priority="36">
      <formula>LEN(TRIM(E37))&gt;0</formula>
    </cfRule>
  </conditionalFormatting>
  <conditionalFormatting sqref="E38 C38">
    <cfRule type="notContainsBlanks" dxfId="25" priority="35">
      <formula>LEN(TRIM(C38))&gt;0</formula>
    </cfRule>
  </conditionalFormatting>
  <conditionalFormatting sqref="E39 C39">
    <cfRule type="notContainsBlanks" dxfId="24" priority="34">
      <formula>LEN(TRIM(C39))&gt;0</formula>
    </cfRule>
  </conditionalFormatting>
  <conditionalFormatting sqref="E41 C41">
    <cfRule type="notContainsBlanks" dxfId="23" priority="33">
      <formula>LEN(TRIM(C41))&gt;0</formula>
    </cfRule>
  </conditionalFormatting>
  <conditionalFormatting sqref="E43 C43">
    <cfRule type="notContainsBlanks" dxfId="22" priority="32">
      <formula>LEN(TRIM(C43))&gt;0</formula>
    </cfRule>
  </conditionalFormatting>
  <conditionalFormatting sqref="E44">
    <cfRule type="notContainsBlanks" dxfId="21" priority="31">
      <formula>LEN(TRIM(E44))&gt;0</formula>
    </cfRule>
  </conditionalFormatting>
  <conditionalFormatting sqref="C45">
    <cfRule type="notContainsBlanks" dxfId="20" priority="27">
      <formula>LEN(TRIM(C45))&gt;0</formula>
    </cfRule>
  </conditionalFormatting>
  <conditionalFormatting sqref="D45">
    <cfRule type="notContainsBlanks" dxfId="19" priority="26">
      <formula>LEN(TRIM(D45))&gt;0</formula>
    </cfRule>
  </conditionalFormatting>
  <conditionalFormatting sqref="C44">
    <cfRule type="notContainsBlanks" dxfId="18" priority="28">
      <formula>LEN(TRIM(C44))&gt;0</formula>
    </cfRule>
  </conditionalFormatting>
  <conditionalFormatting sqref="C47">
    <cfRule type="notContainsBlanks" dxfId="17" priority="24">
      <formula>LEN(TRIM(C47))&gt;0</formula>
    </cfRule>
  </conditionalFormatting>
  <conditionalFormatting sqref="D52">
    <cfRule type="notContainsBlanks" dxfId="16" priority="14">
      <formula>LEN(TRIM(D52))&gt;0</formula>
    </cfRule>
  </conditionalFormatting>
  <conditionalFormatting sqref="D53">
    <cfRule type="notContainsBlanks" dxfId="15" priority="13">
      <formula>LEN(TRIM(D53))&gt;0</formula>
    </cfRule>
  </conditionalFormatting>
  <conditionalFormatting sqref="C46">
    <cfRule type="notContainsBlanks" dxfId="14" priority="23">
      <formula>LEN(TRIM(C46))&gt;0</formula>
    </cfRule>
  </conditionalFormatting>
  <conditionalFormatting sqref="E47">
    <cfRule type="notContainsBlanks" dxfId="13" priority="22">
      <formula>LEN(TRIM(E47))&gt;0</formula>
    </cfRule>
  </conditionalFormatting>
  <conditionalFormatting sqref="D48">
    <cfRule type="notContainsBlanks" dxfId="12" priority="21">
      <formula>LEN(TRIM(D48))&gt;0</formula>
    </cfRule>
  </conditionalFormatting>
  <conditionalFormatting sqref="D49">
    <cfRule type="notContainsBlanks" dxfId="11" priority="20">
      <formula>LEN(TRIM(D49))&gt;0</formula>
    </cfRule>
  </conditionalFormatting>
  <conditionalFormatting sqref="C49">
    <cfRule type="notContainsBlanks" dxfId="10" priority="19">
      <formula>LEN(TRIM(C49))&gt;0</formula>
    </cfRule>
  </conditionalFormatting>
  <conditionalFormatting sqref="D50">
    <cfRule type="notContainsBlanks" dxfId="9" priority="18">
      <formula>LEN(TRIM(D50))&gt;0</formula>
    </cfRule>
  </conditionalFormatting>
  <conditionalFormatting sqref="D51">
    <cfRule type="notContainsBlanks" dxfId="8" priority="17">
      <formula>LEN(TRIM(D51))&gt;0</formula>
    </cfRule>
  </conditionalFormatting>
  <conditionalFormatting sqref="C60">
    <cfRule type="notContainsBlanks" dxfId="7" priority="12">
      <formula>LEN(TRIM(C60))&gt;0</formula>
    </cfRule>
  </conditionalFormatting>
  <conditionalFormatting sqref="C62">
    <cfRule type="notContainsBlanks" dxfId="6" priority="11">
      <formula>LEN(TRIM(C62))&gt;0</formula>
    </cfRule>
  </conditionalFormatting>
  <conditionalFormatting sqref="C40">
    <cfRule type="notContainsBlanks" dxfId="5" priority="4">
      <formula>LEN(TRIM(C40))&gt;0</formula>
    </cfRule>
  </conditionalFormatting>
  <conditionalFormatting sqref="B28">
    <cfRule type="notContainsBlanks" dxfId="4" priority="3">
      <formula>LEN(TRIM(B28))&gt;0</formula>
    </cfRule>
  </conditionalFormatting>
  <conditionalFormatting sqref="A31">
    <cfRule type="notContainsBlanks" dxfId="3" priority="2">
      <formula>LEN(TRIM(A31))&gt;0</formula>
    </cfRule>
  </conditionalFormatting>
  <conditionalFormatting sqref="E31">
    <cfRule type="notContainsBlanks" dxfId="2" priority="1">
      <formula>LEN(TRIM(E31))&gt;0</formula>
    </cfRule>
  </conditionalFormatting>
  <hyperlinks>
    <hyperlink ref="A3" r:id="rId1"/>
    <hyperlink ref="A5" r:id="rId2"/>
    <hyperlink ref="A6" r:id="rId3"/>
    <hyperlink ref="A7" r:id="rId4"/>
    <hyperlink ref="A9" r:id="rId5"/>
    <hyperlink ref="A10" r:id="rId6"/>
    <hyperlink ref="A12" r:id="rId7"/>
    <hyperlink ref="A20" r:id="rId8"/>
    <hyperlink ref="A15" r:id="rId9"/>
    <hyperlink ref="A18" r:id="rId10"/>
    <hyperlink ref="A23" r:id="rId11"/>
    <hyperlink ref="A25" r:id="rId12"/>
    <hyperlink ref="A27" r:id="rId13"/>
    <hyperlink ref="A28" r:id="rId14"/>
    <hyperlink ref="A29" r:id="rId15"/>
    <hyperlink ref="A32" r:id="rId16"/>
    <hyperlink ref="A35" r:id="rId17"/>
    <hyperlink ref="A36" r:id="rId18"/>
    <hyperlink ref="A37" r:id="rId19"/>
    <hyperlink ref="A45" r:id="rId20"/>
    <hyperlink ref="A48" r:id="rId21"/>
    <hyperlink ref="A54" r:id="rId22"/>
    <hyperlink ref="A56" r:id="rId23"/>
    <hyperlink ref="A58" r:id="rId24"/>
    <hyperlink ref="A59" r:id="rId25"/>
    <hyperlink ref="A60" r:id="rId26"/>
    <hyperlink ref="A63" r:id="rId27"/>
    <hyperlink ref="A65" r:id="rId28"/>
    <hyperlink ref="A67" r:id="rId29"/>
    <hyperlink ref="A69" r:id="rId30"/>
    <hyperlink ref="A70" r:id="rId31"/>
    <hyperlink ref="A2" r:id="rId32"/>
    <hyperlink ref="A4" r:id="rId33"/>
    <hyperlink ref="A8" r:id="rId34"/>
    <hyperlink ref="A11" r:id="rId35"/>
    <hyperlink ref="A13" r:id="rId36"/>
    <hyperlink ref="A14" r:id="rId37"/>
    <hyperlink ref="A19" r:id="rId38"/>
    <hyperlink ref="A21" r:id="rId39"/>
    <hyperlink ref="A22" r:id="rId40"/>
    <hyperlink ref="A24" r:id="rId41"/>
    <hyperlink ref="A26" r:id="rId42"/>
    <hyperlink ref="A30" r:id="rId43"/>
    <hyperlink ref="A33" r:id="rId44"/>
    <hyperlink ref="A34" r:id="rId45"/>
    <hyperlink ref="A38" r:id="rId46"/>
    <hyperlink ref="A39" r:id="rId47"/>
    <hyperlink ref="A40" r:id="rId48"/>
    <hyperlink ref="A41" r:id="rId49"/>
    <hyperlink ref="A42" r:id="rId50"/>
    <hyperlink ref="A43" r:id="rId51"/>
    <hyperlink ref="A46" r:id="rId52"/>
    <hyperlink ref="A47" r:id="rId53"/>
    <hyperlink ref="A49" r:id="rId54"/>
    <hyperlink ref="A50" r:id="rId55"/>
    <hyperlink ref="A51" r:id="rId56"/>
    <hyperlink ref="A52" r:id="rId57"/>
    <hyperlink ref="A53" r:id="rId58"/>
    <hyperlink ref="A55" r:id="rId59"/>
    <hyperlink ref="A57" r:id="rId60"/>
    <hyperlink ref="A61" r:id="rId61"/>
    <hyperlink ref="A62" r:id="rId62"/>
    <hyperlink ref="A64" r:id="rId63"/>
    <hyperlink ref="A66" r:id="rId64"/>
    <hyperlink ref="A68" r:id="rId65"/>
    <hyperlink ref="A71" r:id="rId66"/>
    <hyperlink ref="A17" r:id="rId67"/>
    <hyperlink ref="A16" r:id="rId68"/>
    <hyperlink ref="A44" r:id="rId69"/>
    <hyperlink ref="A31" r:id="rId70"/>
  </hyperlinks>
  <pageMargins left="0.7" right="0.7" top="0.75" bottom="0.75" header="0.3" footer="0.3"/>
  <pageSetup paperSize="9" orientation="portrait" r:id="rId7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workbookViewId="0">
      <pane ySplit="1" topLeftCell="A2" activePane="bottomLeft" state="frozen"/>
      <selection activeCell="B1" sqref="B1"/>
      <selection pane="bottomLeft" activeCell="I1" sqref="I1:I1048576"/>
    </sheetView>
  </sheetViews>
  <sheetFormatPr defaultRowHeight="15" x14ac:dyDescent="0.25"/>
  <cols>
    <col min="1" max="1" width="29.85546875" style="1" customWidth="1"/>
    <col min="2" max="2" width="14.7109375" style="5" customWidth="1"/>
    <col min="3" max="3" width="16.5703125" style="5" customWidth="1"/>
    <col min="4" max="4" width="11.140625" style="1" customWidth="1"/>
    <col min="5" max="5" width="13.140625" style="192" customWidth="1"/>
    <col min="6" max="6" width="16.85546875" style="197" customWidth="1"/>
    <col min="7" max="7" width="18.28515625" style="5" customWidth="1"/>
    <col min="8" max="8" width="9.140625" style="5" customWidth="1"/>
    <col min="9" max="9" width="14.28515625" style="1" customWidth="1"/>
    <col min="10" max="10" width="15.5703125" style="1" customWidth="1"/>
    <col min="11" max="16384" width="9.140625" style="1"/>
  </cols>
  <sheetData>
    <row r="1" spans="1:10" ht="63" thickBot="1" x14ac:dyDescent="0.3">
      <c r="A1" s="3" t="s">
        <v>0</v>
      </c>
      <c r="B1" s="80" t="s">
        <v>1</v>
      </c>
      <c r="C1" s="80" t="s">
        <v>2</v>
      </c>
      <c r="D1" s="14" t="s">
        <v>3</v>
      </c>
      <c r="E1" s="185" t="s">
        <v>254</v>
      </c>
      <c r="F1" s="193" t="s">
        <v>516</v>
      </c>
      <c r="G1" s="109" t="s">
        <v>517</v>
      </c>
      <c r="H1" s="100" t="s">
        <v>518</v>
      </c>
      <c r="I1" s="13" t="s">
        <v>519</v>
      </c>
      <c r="J1" s="88" t="s">
        <v>520</v>
      </c>
    </row>
    <row r="2" spans="1:10" x14ac:dyDescent="0.25">
      <c r="A2" s="15" t="s">
        <v>246</v>
      </c>
      <c r="B2" s="6">
        <v>642899.1</v>
      </c>
      <c r="C2" s="6">
        <v>673.16</v>
      </c>
      <c r="D2" s="7">
        <f t="shared" ref="D2:D9" si="0">C2/B2</f>
        <v>1.0470694390457228E-3</v>
      </c>
      <c r="E2" s="186">
        <v>0.1</v>
      </c>
      <c r="F2" s="194">
        <f>IF(D2&lt;E2, E2*B2-C2, 0)</f>
        <v>63616.75</v>
      </c>
      <c r="G2" s="17">
        <f>IF(F2&gt;SUM(H2:I2),F2-SUM(H2:I2),0)</f>
        <v>51334.82</v>
      </c>
      <c r="H2" s="8"/>
      <c r="I2" s="84">
        <f>'GEF projects'!B2</f>
        <v>12281.93</v>
      </c>
      <c r="J2" s="89">
        <f t="shared" ref="J2:J29" si="1">G2+H2+I2</f>
        <v>63616.75</v>
      </c>
    </row>
    <row r="3" spans="1:10" x14ac:dyDescent="0.25">
      <c r="A3" s="15" t="s">
        <v>60</v>
      </c>
      <c r="B3" s="6">
        <v>1864</v>
      </c>
      <c r="C3" s="6">
        <v>16.61</v>
      </c>
      <c r="D3" s="7">
        <f t="shared" si="0"/>
        <v>8.910944206008584E-3</v>
      </c>
      <c r="E3" s="187"/>
      <c r="F3" s="195"/>
      <c r="G3" s="95"/>
      <c r="H3" s="8"/>
      <c r="I3" s="67"/>
      <c r="J3" s="89">
        <f t="shared" si="1"/>
        <v>0</v>
      </c>
    </row>
    <row r="4" spans="1:10" x14ac:dyDescent="0.25">
      <c r="A4" s="15" t="s">
        <v>231</v>
      </c>
      <c r="B4" s="6">
        <v>28746.6</v>
      </c>
      <c r="C4" s="6">
        <v>4912.57</v>
      </c>
      <c r="D4" s="7">
        <f t="shared" si="0"/>
        <v>0.17089220986134013</v>
      </c>
      <c r="E4" s="186">
        <v>0.17</v>
      </c>
      <c r="F4" s="194">
        <f>IF(D4&lt;E4, E4*B4-C4, 0)</f>
        <v>0</v>
      </c>
      <c r="G4" s="17">
        <f>IF(F4&gt;SUM(H4:I4),F4-SUM(H4:I4),0)</f>
        <v>0</v>
      </c>
      <c r="H4" s="8"/>
      <c r="I4" s="67"/>
      <c r="J4" s="89">
        <f t="shared" si="1"/>
        <v>0</v>
      </c>
    </row>
    <row r="5" spans="1:10" x14ac:dyDescent="0.25">
      <c r="A5" s="15" t="s">
        <v>95</v>
      </c>
      <c r="B5" s="6">
        <v>2324458.6</v>
      </c>
      <c r="C5" s="6">
        <v>174220</v>
      </c>
      <c r="D5" s="7">
        <f t="shared" si="0"/>
        <v>7.4950786389570451E-2</v>
      </c>
      <c r="E5" s="187">
        <v>0.2</v>
      </c>
      <c r="F5" s="195" t="s">
        <v>361</v>
      </c>
      <c r="G5" s="95">
        <v>0</v>
      </c>
      <c r="H5" s="8"/>
      <c r="I5" s="67"/>
      <c r="J5" s="89">
        <f t="shared" si="1"/>
        <v>0</v>
      </c>
    </row>
    <row r="6" spans="1:10" x14ac:dyDescent="0.25">
      <c r="A6" s="15" t="s">
        <v>77</v>
      </c>
      <c r="B6" s="6">
        <v>210.6</v>
      </c>
      <c r="C6" s="6">
        <v>9</v>
      </c>
      <c r="D6" s="7">
        <f t="shared" si="0"/>
        <v>4.2735042735042736E-2</v>
      </c>
      <c r="E6" s="187"/>
      <c r="F6" s="195"/>
      <c r="G6" s="95"/>
      <c r="H6" s="8"/>
      <c r="I6" s="67"/>
      <c r="J6" s="89">
        <f t="shared" si="1"/>
        <v>0</v>
      </c>
    </row>
    <row r="7" spans="1:10" x14ac:dyDescent="0.25">
      <c r="A7" s="15" t="s">
        <v>108</v>
      </c>
      <c r="B7" s="6">
        <v>471.9</v>
      </c>
      <c r="C7" s="6">
        <v>100</v>
      </c>
      <c r="D7" s="7">
        <f t="shared" si="0"/>
        <v>0.21190930281839374</v>
      </c>
      <c r="E7" s="187"/>
      <c r="F7" s="195"/>
      <c r="G7" s="95"/>
      <c r="H7" s="8"/>
      <c r="I7" s="67"/>
      <c r="J7" s="89">
        <f t="shared" si="1"/>
        <v>0</v>
      </c>
    </row>
    <row r="8" spans="1:10" x14ac:dyDescent="0.25">
      <c r="A8" s="15" t="s">
        <v>100</v>
      </c>
      <c r="B8" s="6">
        <v>1255217.8999999999</v>
      </c>
      <c r="C8" s="6">
        <v>87507</v>
      </c>
      <c r="D8" s="7">
        <f t="shared" si="0"/>
        <v>6.9714588996858631E-2</v>
      </c>
      <c r="E8" s="187"/>
      <c r="F8" s="195"/>
      <c r="G8" s="95"/>
      <c r="H8" s="8"/>
      <c r="I8" s="84">
        <f>'GEF projects'!B3</f>
        <v>9050</v>
      </c>
      <c r="J8" s="89">
        <f t="shared" si="1"/>
        <v>9050</v>
      </c>
    </row>
    <row r="9" spans="1:10" x14ac:dyDescent="0.25">
      <c r="A9" s="15" t="s">
        <v>130</v>
      </c>
      <c r="B9" s="6">
        <v>85.5</v>
      </c>
      <c r="C9" s="6">
        <v>5.65</v>
      </c>
      <c r="D9" s="7">
        <f t="shared" si="0"/>
        <v>6.6081871345029242E-2</v>
      </c>
      <c r="E9" s="187"/>
      <c r="F9" s="195"/>
      <c r="G9" s="95"/>
      <c r="H9" s="8"/>
      <c r="I9" s="67"/>
      <c r="J9" s="89">
        <f t="shared" si="1"/>
        <v>0</v>
      </c>
    </row>
    <row r="10" spans="1:10" x14ac:dyDescent="0.25">
      <c r="A10" s="15" t="s">
        <v>161</v>
      </c>
      <c r="D10" s="7"/>
      <c r="E10" s="187"/>
      <c r="F10" s="195"/>
      <c r="G10" s="95"/>
      <c r="H10" s="8"/>
      <c r="I10" s="67"/>
      <c r="J10" s="89">
        <f t="shared" si="1"/>
        <v>0</v>
      </c>
    </row>
    <row r="11" spans="1:10" x14ac:dyDescent="0.25">
      <c r="A11" s="15" t="s">
        <v>217</v>
      </c>
      <c r="B11" s="6">
        <v>455.2</v>
      </c>
      <c r="C11" s="6">
        <v>85</v>
      </c>
      <c r="D11" s="7">
        <f t="shared" ref="D11:D49" si="2">C11/B11</f>
        <v>0.18673110720562391</v>
      </c>
      <c r="E11" s="186">
        <v>0.17</v>
      </c>
      <c r="F11" s="194">
        <f>IF(D11&lt;E11, E11*B11-C11, 0)</f>
        <v>0</v>
      </c>
      <c r="G11" s="17">
        <f>IF(F11&gt;SUM(H11:I11),F11-SUM(H11:I11),0)</f>
        <v>0</v>
      </c>
      <c r="H11" s="8"/>
      <c r="I11" s="84">
        <f>'GEF projects'!B4</f>
        <v>30.35</v>
      </c>
      <c r="J11" s="89">
        <f t="shared" si="1"/>
        <v>30.35</v>
      </c>
    </row>
    <row r="12" spans="1:10" x14ac:dyDescent="0.25">
      <c r="A12" s="15" t="s">
        <v>16</v>
      </c>
      <c r="B12" s="6">
        <v>2785327.7</v>
      </c>
      <c r="C12" s="6">
        <v>247700</v>
      </c>
      <c r="D12" s="7">
        <f t="shared" si="2"/>
        <v>8.8930289961931586E-2</v>
      </c>
      <c r="E12" s="186">
        <v>0.13</v>
      </c>
      <c r="F12" s="194">
        <f>IF(D12&lt;E12, E12*B12-C12, 0)</f>
        <v>114392.60100000002</v>
      </c>
      <c r="G12" s="17">
        <f>IF(F12&gt;SUM(H12:I12),F12-SUM(H12:I12),0)</f>
        <v>114392.60100000002</v>
      </c>
      <c r="H12" s="8"/>
      <c r="I12" s="67"/>
      <c r="J12" s="89">
        <f t="shared" si="1"/>
        <v>114392.60100000002</v>
      </c>
    </row>
    <row r="13" spans="1:10" x14ac:dyDescent="0.25">
      <c r="A13" s="15" t="s">
        <v>212</v>
      </c>
      <c r="B13" s="6">
        <v>29685.4</v>
      </c>
      <c r="C13" s="6">
        <v>6860</v>
      </c>
      <c r="D13" s="7">
        <f t="shared" si="2"/>
        <v>0.23109003078954637</v>
      </c>
      <c r="E13" s="187"/>
      <c r="F13" s="195"/>
      <c r="G13" s="95"/>
      <c r="H13" s="8"/>
      <c r="I13" s="67"/>
      <c r="J13" s="89">
        <f t="shared" si="1"/>
        <v>0</v>
      </c>
    </row>
    <row r="14" spans="1:10" x14ac:dyDescent="0.25">
      <c r="A14" s="15" t="s">
        <v>50</v>
      </c>
      <c r="B14" s="6">
        <v>189.4</v>
      </c>
      <c r="C14" s="6">
        <v>36</v>
      </c>
      <c r="D14" s="7">
        <f t="shared" si="2"/>
        <v>0.19007391763463569</v>
      </c>
      <c r="E14" s="187"/>
      <c r="F14" s="195"/>
      <c r="G14" s="95"/>
      <c r="H14" s="8"/>
      <c r="I14" s="67"/>
      <c r="J14" s="89">
        <f t="shared" si="1"/>
        <v>0</v>
      </c>
    </row>
    <row r="15" spans="1:10" x14ac:dyDescent="0.25">
      <c r="A15" s="15" t="s">
        <v>242</v>
      </c>
      <c r="B15" s="6">
        <v>7722102</v>
      </c>
      <c r="C15" s="6">
        <v>1311457</v>
      </c>
      <c r="D15" s="7">
        <f t="shared" si="2"/>
        <v>0.16983160802589761</v>
      </c>
      <c r="E15" s="187"/>
      <c r="F15" s="195"/>
      <c r="G15" s="95"/>
      <c r="H15" s="8"/>
      <c r="I15" s="67"/>
      <c r="J15" s="89">
        <f t="shared" si="1"/>
        <v>0</v>
      </c>
    </row>
    <row r="16" spans="1:10" x14ac:dyDescent="0.25">
      <c r="A16" s="15" t="s">
        <v>243</v>
      </c>
      <c r="B16" s="6">
        <v>83912.3</v>
      </c>
      <c r="C16" s="6">
        <v>23018.27</v>
      </c>
      <c r="D16" s="7">
        <f t="shared" si="2"/>
        <v>0.27431342008263387</v>
      </c>
      <c r="E16" s="187"/>
      <c r="F16" s="195"/>
      <c r="G16" s="95"/>
      <c r="H16" s="8"/>
      <c r="I16" s="67"/>
      <c r="J16" s="89">
        <f t="shared" si="1"/>
        <v>0</v>
      </c>
    </row>
    <row r="17" spans="1:10" x14ac:dyDescent="0.25">
      <c r="A17" s="15" t="s">
        <v>206</v>
      </c>
      <c r="B17" s="6">
        <v>86639.6</v>
      </c>
      <c r="C17" s="6">
        <v>8798</v>
      </c>
      <c r="D17" s="7">
        <f t="shared" si="2"/>
        <v>0.10154709855539498</v>
      </c>
      <c r="E17" s="187" t="s">
        <v>315</v>
      </c>
      <c r="F17" s="195">
        <f>0.12*B17</f>
        <v>10396.752</v>
      </c>
      <c r="G17" s="17">
        <f>IF(F17&gt;SUM(H17:I17),F17-SUM(H17:I17),0)</f>
        <v>10396.752</v>
      </c>
      <c r="H17" s="9"/>
      <c r="I17" s="67"/>
      <c r="J17" s="89">
        <f t="shared" si="1"/>
        <v>10396.752</v>
      </c>
    </row>
    <row r="18" spans="1:10" x14ac:dyDescent="0.25">
      <c r="A18" s="15" t="s">
        <v>121</v>
      </c>
      <c r="B18" s="6">
        <v>13458</v>
      </c>
      <c r="C18" s="6">
        <v>4199</v>
      </c>
      <c r="D18" s="7">
        <f t="shared" si="2"/>
        <v>0.31200772774557883</v>
      </c>
      <c r="E18" s="187"/>
      <c r="F18" s="195"/>
      <c r="G18" s="95"/>
      <c r="H18" s="9"/>
      <c r="I18" s="67"/>
      <c r="J18" s="89">
        <f t="shared" si="1"/>
        <v>0</v>
      </c>
    </row>
    <row r="19" spans="1:10" x14ac:dyDescent="0.25">
      <c r="A19" s="15" t="s">
        <v>86</v>
      </c>
      <c r="B19" s="6">
        <v>686.9</v>
      </c>
      <c r="C19" s="6">
        <v>46</v>
      </c>
      <c r="D19" s="7">
        <f t="shared" si="2"/>
        <v>6.6967535303537634E-2</v>
      </c>
      <c r="E19" s="187"/>
      <c r="F19" s="195"/>
      <c r="G19" s="95"/>
      <c r="H19" s="8"/>
      <c r="I19" s="67"/>
      <c r="J19" s="89">
        <f t="shared" si="1"/>
        <v>0</v>
      </c>
    </row>
    <row r="20" spans="1:10" x14ac:dyDescent="0.25">
      <c r="A20" s="15" t="s">
        <v>122</v>
      </c>
      <c r="B20" s="6">
        <v>140160.20000000001</v>
      </c>
      <c r="C20" s="6">
        <v>6456</v>
      </c>
      <c r="D20" s="7">
        <f t="shared" si="2"/>
        <v>4.6061578108478725E-2</v>
      </c>
      <c r="E20" s="187"/>
      <c r="F20" s="195"/>
      <c r="G20" s="95"/>
      <c r="H20" s="156">
        <f>7400-1170-I20</f>
        <v>5210</v>
      </c>
      <c r="I20" s="84">
        <f>'GEF projects'!B5</f>
        <v>1020</v>
      </c>
      <c r="J20" s="89">
        <f t="shared" si="1"/>
        <v>6230</v>
      </c>
    </row>
    <row r="21" spans="1:10" x14ac:dyDescent="0.25">
      <c r="A21" s="15" t="s">
        <v>107</v>
      </c>
      <c r="B21" s="6">
        <v>444.1</v>
      </c>
      <c r="C21" s="6">
        <v>6</v>
      </c>
      <c r="D21" s="7">
        <f t="shared" si="2"/>
        <v>1.3510470614726412E-2</v>
      </c>
      <c r="E21" s="187"/>
      <c r="F21" s="195"/>
      <c r="G21" s="95"/>
      <c r="H21" s="8"/>
      <c r="I21" s="67"/>
      <c r="J21" s="89">
        <f t="shared" si="1"/>
        <v>0</v>
      </c>
    </row>
    <row r="22" spans="1:10" x14ac:dyDescent="0.25">
      <c r="A22" s="15" t="s">
        <v>26</v>
      </c>
      <c r="B22" s="6">
        <v>207228.1</v>
      </c>
      <c r="C22" s="6">
        <v>19351.150000000001</v>
      </c>
      <c r="D22" s="7">
        <f t="shared" si="2"/>
        <v>9.3380916970237149E-2</v>
      </c>
      <c r="E22" s="188">
        <v>0.22</v>
      </c>
      <c r="F22" s="194">
        <f>IF(D22&lt;E22, E22*B22-C22, 0)</f>
        <v>26239.031999999999</v>
      </c>
      <c r="G22" s="17">
        <f>IF(F22&gt;SUM(H22:I22),F22-SUM(H22:I22),0)</f>
        <v>26039.031999999999</v>
      </c>
      <c r="H22" s="8"/>
      <c r="I22" s="67">
        <f>'GEF projects'!B6</f>
        <v>200</v>
      </c>
      <c r="J22" s="89">
        <f t="shared" si="1"/>
        <v>26239.031999999999</v>
      </c>
    </row>
    <row r="23" spans="1:10" x14ac:dyDescent="0.25">
      <c r="A23" s="15" t="s">
        <v>59</v>
      </c>
      <c r="B23" s="6">
        <v>30683.1</v>
      </c>
      <c r="C23" s="6">
        <v>7137</v>
      </c>
      <c r="D23" s="7">
        <f t="shared" si="2"/>
        <v>0.23260361567116752</v>
      </c>
      <c r="E23" s="186">
        <v>0.17</v>
      </c>
      <c r="F23" s="194">
        <f>IF(D23&lt;E23, E23*B23-C23, 0)</f>
        <v>0</v>
      </c>
      <c r="G23" s="17">
        <f>IF(F23&gt;SUM(H23:I23),F23-SUM(H23:I23),0)</f>
        <v>0</v>
      </c>
      <c r="H23" s="8"/>
      <c r="I23" s="67"/>
      <c r="J23" s="89">
        <f t="shared" si="1"/>
        <v>0</v>
      </c>
    </row>
    <row r="24" spans="1:10" x14ac:dyDescent="0.25">
      <c r="A24" s="15" t="s">
        <v>47</v>
      </c>
      <c r="B24" s="6">
        <v>22297.8</v>
      </c>
      <c r="C24" s="6">
        <v>8408.64</v>
      </c>
      <c r="D24" s="7">
        <f t="shared" si="2"/>
        <v>0.37710626160428384</v>
      </c>
      <c r="E24" s="187"/>
      <c r="F24" s="195"/>
      <c r="G24" s="95"/>
      <c r="H24" s="8"/>
      <c r="I24" s="67"/>
      <c r="J24" s="89">
        <f t="shared" si="1"/>
        <v>0</v>
      </c>
    </row>
    <row r="25" spans="1:10" x14ac:dyDescent="0.25">
      <c r="A25" s="15" t="s">
        <v>125</v>
      </c>
      <c r="B25" s="6">
        <v>116095.4</v>
      </c>
      <c r="C25" s="6">
        <v>33519</v>
      </c>
      <c r="D25" s="7">
        <f t="shared" si="2"/>
        <v>0.28871944969395863</v>
      </c>
      <c r="E25" s="186">
        <v>0.1</v>
      </c>
      <c r="F25" s="194">
        <f>IF(D25&lt;E25, E25*B25-C25, 0)</f>
        <v>0</v>
      </c>
      <c r="G25" s="17">
        <f>IF(F25&gt;SUM(H25:I25),F25-SUM(H25:I25),0)</f>
        <v>0</v>
      </c>
      <c r="H25" s="8"/>
      <c r="I25" s="67">
        <f>'GEF projects'!B7</f>
        <v>80</v>
      </c>
      <c r="J25" s="89">
        <f t="shared" si="1"/>
        <v>80</v>
      </c>
    </row>
    <row r="26" spans="1:10" x14ac:dyDescent="0.25">
      <c r="A26" s="15" t="s">
        <v>188</v>
      </c>
      <c r="B26" s="6">
        <v>72.5</v>
      </c>
      <c r="C26" s="6">
        <v>4</v>
      </c>
      <c r="D26" s="7">
        <f t="shared" si="2"/>
        <v>5.5172413793103448E-2</v>
      </c>
      <c r="E26" s="187"/>
      <c r="F26" s="195"/>
      <c r="G26" s="95"/>
      <c r="H26" s="8"/>
      <c r="I26" s="67"/>
      <c r="J26" s="89">
        <f t="shared" si="1"/>
        <v>0</v>
      </c>
    </row>
    <row r="27" spans="1:10" x14ac:dyDescent="0.25">
      <c r="A27" s="15" t="s">
        <v>67</v>
      </c>
      <c r="B27" s="6">
        <v>39933.5</v>
      </c>
      <c r="C27" s="6">
        <v>19171</v>
      </c>
      <c r="D27" s="7">
        <f t="shared" si="2"/>
        <v>0.48007312156460114</v>
      </c>
      <c r="E27" s="187"/>
      <c r="F27" s="195"/>
      <c r="G27" s="95"/>
      <c r="H27" s="8"/>
      <c r="I27" s="67"/>
      <c r="J27" s="89">
        <f t="shared" si="1"/>
        <v>0</v>
      </c>
    </row>
    <row r="28" spans="1:10" x14ac:dyDescent="0.25">
      <c r="A28" s="15" t="s">
        <v>120</v>
      </c>
      <c r="B28" s="6">
        <v>1089908.8999999999</v>
      </c>
      <c r="C28" s="6">
        <v>336406</v>
      </c>
      <c r="D28" s="7">
        <f t="shared" si="2"/>
        <v>0.30865515457301068</v>
      </c>
      <c r="E28" s="187"/>
      <c r="F28" s="195"/>
      <c r="G28" s="95"/>
      <c r="H28" s="11"/>
      <c r="I28" s="85"/>
      <c r="J28" s="89">
        <f t="shared" si="1"/>
        <v>0</v>
      </c>
    </row>
    <row r="29" spans="1:10" x14ac:dyDescent="0.25">
      <c r="A29" s="15" t="s">
        <v>229</v>
      </c>
      <c r="B29" s="6">
        <v>322.89999999999998</v>
      </c>
      <c r="C29" s="6">
        <v>70.06</v>
      </c>
      <c r="D29" s="7">
        <f t="shared" si="2"/>
        <v>0.21697119851347169</v>
      </c>
      <c r="E29" s="187"/>
      <c r="F29" s="195"/>
      <c r="G29" s="95"/>
      <c r="H29" s="8"/>
      <c r="I29" s="67"/>
      <c r="J29" s="89">
        <f t="shared" si="1"/>
        <v>0</v>
      </c>
    </row>
    <row r="30" spans="1:10" x14ac:dyDescent="0.25">
      <c r="A30" s="15" t="s">
        <v>237</v>
      </c>
      <c r="B30" s="6">
        <v>51225.2</v>
      </c>
      <c r="C30" s="6">
        <v>744</v>
      </c>
      <c r="D30" s="7">
        <f t="shared" si="2"/>
        <v>1.4524101418832919E-2</v>
      </c>
      <c r="E30" s="187"/>
      <c r="F30" s="195"/>
      <c r="G30" s="95"/>
      <c r="H30" s="8"/>
      <c r="I30" s="84">
        <f>'GEF projects'!B8</f>
        <v>2256</v>
      </c>
      <c r="J30" s="89">
        <f>3000-C30</f>
        <v>2256</v>
      </c>
    </row>
    <row r="31" spans="1:10" x14ac:dyDescent="0.25">
      <c r="A31" s="15" t="s">
        <v>115</v>
      </c>
      <c r="B31" s="6">
        <v>581162.9</v>
      </c>
      <c r="C31" s="6">
        <v>169370</v>
      </c>
      <c r="D31" s="7">
        <f t="shared" si="2"/>
        <v>0.29143291837796254</v>
      </c>
      <c r="E31" s="187">
        <v>0.25</v>
      </c>
      <c r="F31" s="195" t="s">
        <v>366</v>
      </c>
      <c r="G31" s="95">
        <v>0</v>
      </c>
      <c r="H31" s="9"/>
      <c r="I31" s="84"/>
      <c r="J31" s="89">
        <f t="shared" ref="J31:J62" si="3">G31+H31+I31</f>
        <v>0</v>
      </c>
    </row>
    <row r="32" spans="1:10" x14ac:dyDescent="0.25">
      <c r="A32" s="15" t="s">
        <v>156</v>
      </c>
      <c r="B32" s="6">
        <v>50.6</v>
      </c>
      <c r="C32" s="6">
        <v>44</v>
      </c>
      <c r="D32" s="7">
        <f t="shared" si="2"/>
        <v>0.86956521739130432</v>
      </c>
      <c r="E32" s="187"/>
      <c r="F32" s="195"/>
      <c r="G32" s="95"/>
      <c r="H32" s="8"/>
      <c r="I32" s="67"/>
      <c r="J32" s="89">
        <f t="shared" si="3"/>
        <v>0</v>
      </c>
    </row>
    <row r="33" spans="1:10" ht="33" customHeight="1" x14ac:dyDescent="0.25">
      <c r="A33" s="96" t="s">
        <v>127</v>
      </c>
      <c r="B33" s="6">
        <v>8529399.1999999993</v>
      </c>
      <c r="C33" s="6">
        <v>2468479</v>
      </c>
      <c r="D33" s="7">
        <f t="shared" si="2"/>
        <v>0.28940830908699877</v>
      </c>
      <c r="E33" s="187" t="s">
        <v>314</v>
      </c>
      <c r="F33" s="195">
        <v>325158.48556117754</v>
      </c>
      <c r="G33" s="95">
        <f>F33-10000-I33</f>
        <v>314508.48556117754</v>
      </c>
      <c r="H33" s="18">
        <v>70000</v>
      </c>
      <c r="I33" s="86">
        <f>'GEF projects'!B9</f>
        <v>650</v>
      </c>
      <c r="J33" s="89">
        <f t="shared" si="3"/>
        <v>385158.48556117754</v>
      </c>
    </row>
    <row r="34" spans="1:10" x14ac:dyDescent="0.25">
      <c r="A34" s="15" t="s">
        <v>147</v>
      </c>
      <c r="B34" s="6">
        <v>69</v>
      </c>
      <c r="C34" s="6">
        <v>69</v>
      </c>
      <c r="D34" s="7">
        <f t="shared" si="2"/>
        <v>1</v>
      </c>
      <c r="E34" s="187"/>
      <c r="F34" s="195"/>
      <c r="G34" s="95"/>
      <c r="H34" s="8"/>
      <c r="I34" s="67"/>
      <c r="J34" s="89">
        <f t="shared" si="3"/>
        <v>0</v>
      </c>
    </row>
    <row r="35" spans="1:10" x14ac:dyDescent="0.25">
      <c r="A35" s="15" t="s">
        <v>76</v>
      </c>
      <c r="B35" s="6">
        <v>175.6</v>
      </c>
      <c r="C35" s="6">
        <v>16</v>
      </c>
      <c r="D35" s="7">
        <f t="shared" si="2"/>
        <v>9.1116173120728935E-2</v>
      </c>
      <c r="E35" s="187"/>
      <c r="F35" s="195"/>
      <c r="G35" s="95"/>
      <c r="H35" s="8"/>
      <c r="I35" s="67"/>
      <c r="J35" s="89">
        <f t="shared" si="3"/>
        <v>0</v>
      </c>
    </row>
    <row r="36" spans="1:10" x14ac:dyDescent="0.25">
      <c r="A36" s="15" t="s">
        <v>207</v>
      </c>
      <c r="B36" s="6">
        <v>5961.7</v>
      </c>
      <c r="C36" s="6">
        <v>2794</v>
      </c>
      <c r="D36" s="7">
        <f t="shared" si="2"/>
        <v>0.46865826861465693</v>
      </c>
      <c r="E36" s="187"/>
      <c r="F36" s="195"/>
      <c r="G36" s="95"/>
      <c r="H36" s="8"/>
      <c r="I36" s="67"/>
      <c r="J36" s="89">
        <f t="shared" si="3"/>
        <v>0</v>
      </c>
    </row>
    <row r="37" spans="1:10" x14ac:dyDescent="0.25">
      <c r="A37" s="15" t="s">
        <v>223</v>
      </c>
      <c r="B37" s="6">
        <v>110862.7</v>
      </c>
      <c r="C37" s="6">
        <v>38451.129999999997</v>
      </c>
      <c r="D37" s="7">
        <f t="shared" si="2"/>
        <v>0.34683559032929923</v>
      </c>
      <c r="E37" s="187"/>
      <c r="F37" s="195"/>
      <c r="G37" s="95"/>
      <c r="H37" s="8"/>
      <c r="I37" s="67"/>
      <c r="J37" s="89">
        <f t="shared" si="3"/>
        <v>0</v>
      </c>
    </row>
    <row r="38" spans="1:10" x14ac:dyDescent="0.25">
      <c r="A38" s="15" t="s">
        <v>248</v>
      </c>
      <c r="B38" s="6">
        <v>276403.7</v>
      </c>
      <c r="C38" s="6">
        <v>41025.760000000002</v>
      </c>
      <c r="D38" s="7">
        <f t="shared" si="2"/>
        <v>0.1484269566579608</v>
      </c>
      <c r="E38" s="187"/>
      <c r="F38" s="195"/>
      <c r="G38" s="95"/>
      <c r="H38" s="8"/>
      <c r="I38" s="67"/>
      <c r="J38" s="89">
        <f t="shared" si="3"/>
        <v>0</v>
      </c>
    </row>
    <row r="39" spans="1:10" x14ac:dyDescent="0.25">
      <c r="A39" s="15" t="s">
        <v>41</v>
      </c>
      <c r="B39" s="6">
        <v>27210.9</v>
      </c>
      <c r="C39" s="6">
        <v>2066</v>
      </c>
      <c r="D39" s="7">
        <f t="shared" si="2"/>
        <v>7.5925456342862602E-2</v>
      </c>
      <c r="E39" s="186">
        <v>0.1</v>
      </c>
      <c r="F39" s="194">
        <f>IF(D39&lt;E39, E39*B39-C39, 0)</f>
        <v>655.09000000000015</v>
      </c>
      <c r="G39" s="17">
        <f>IF(F39&gt;SUM(H39:I39),F39-SUM(H39:I39),0)</f>
        <v>655.09000000000015</v>
      </c>
      <c r="H39" s="8"/>
      <c r="I39" s="67"/>
      <c r="J39" s="89">
        <f t="shared" si="3"/>
        <v>655.09000000000015</v>
      </c>
    </row>
    <row r="40" spans="1:10" x14ac:dyDescent="0.25">
      <c r="A40" s="15" t="s">
        <v>65</v>
      </c>
      <c r="B40" s="6">
        <v>4149</v>
      </c>
      <c r="C40" s="6">
        <v>120.12</v>
      </c>
      <c r="D40" s="7">
        <f t="shared" si="2"/>
        <v>2.8951554591467824E-2</v>
      </c>
      <c r="E40" s="187">
        <v>0.2</v>
      </c>
      <c r="F40" s="195" t="s">
        <v>369</v>
      </c>
      <c r="G40" s="95">
        <v>0</v>
      </c>
      <c r="H40" s="8"/>
      <c r="I40" s="67"/>
      <c r="J40" s="89">
        <f t="shared" si="3"/>
        <v>0</v>
      </c>
    </row>
    <row r="41" spans="1:10" x14ac:dyDescent="0.25">
      <c r="A41" s="15" t="s">
        <v>170</v>
      </c>
      <c r="B41" s="6">
        <v>182510.9</v>
      </c>
      <c r="C41" s="6">
        <v>47503</v>
      </c>
      <c r="D41" s="7">
        <f t="shared" si="2"/>
        <v>0.26027486577514003</v>
      </c>
      <c r="E41" s="187"/>
      <c r="F41" s="195"/>
      <c r="G41" s="95"/>
      <c r="H41" s="8"/>
      <c r="I41" s="67"/>
      <c r="J41" s="89">
        <f t="shared" si="3"/>
        <v>0</v>
      </c>
    </row>
    <row r="42" spans="1:10" x14ac:dyDescent="0.25">
      <c r="A42" s="15" t="s">
        <v>245</v>
      </c>
      <c r="B42" s="6">
        <v>469428.1</v>
      </c>
      <c r="C42" s="6">
        <v>49762</v>
      </c>
      <c r="D42" s="7">
        <f t="shared" si="2"/>
        <v>0.10600558424176142</v>
      </c>
      <c r="E42" s="187"/>
      <c r="F42" s="195"/>
      <c r="G42" s="95"/>
      <c r="H42" s="9">
        <f>10326.19+5000</f>
        <v>15326.19</v>
      </c>
      <c r="I42" s="84">
        <f>'GEF projects'!B10</f>
        <v>520</v>
      </c>
      <c r="J42" s="89">
        <f t="shared" si="3"/>
        <v>15846.19</v>
      </c>
    </row>
    <row r="43" spans="1:10" x14ac:dyDescent="0.25">
      <c r="A43" s="15" t="s">
        <v>6</v>
      </c>
      <c r="B43" s="6">
        <v>9955032.9000000004</v>
      </c>
      <c r="C43" s="6">
        <v>964191</v>
      </c>
      <c r="D43" s="7">
        <f t="shared" si="2"/>
        <v>9.685462717054405E-2</v>
      </c>
      <c r="E43" s="186">
        <v>0.17</v>
      </c>
      <c r="F43" s="194">
        <f>IF(D43&lt;E43, E43*B43-C43, 0)</f>
        <v>728164.59300000011</v>
      </c>
      <c r="G43" s="17">
        <f>IF(F43&gt;SUM(H43:I43),F43-SUM(H43:I43),0)</f>
        <v>728164.59300000011</v>
      </c>
      <c r="H43" s="8"/>
      <c r="I43" s="67"/>
      <c r="J43" s="89">
        <f t="shared" si="3"/>
        <v>728164.59300000011</v>
      </c>
    </row>
    <row r="44" spans="1:10" x14ac:dyDescent="0.25">
      <c r="A44" s="15" t="s">
        <v>183</v>
      </c>
      <c r="B44" s="6">
        <v>289.3</v>
      </c>
      <c r="C44" s="6">
        <v>31</v>
      </c>
      <c r="D44" s="7">
        <f t="shared" si="2"/>
        <v>0.10715520221223643</v>
      </c>
      <c r="E44" s="187"/>
      <c r="F44" s="195"/>
      <c r="G44" s="95"/>
      <c r="H44" s="8"/>
      <c r="I44" s="67"/>
      <c r="J44" s="89">
        <f t="shared" si="3"/>
        <v>0</v>
      </c>
    </row>
    <row r="45" spans="1:10" x14ac:dyDescent="0.25">
      <c r="A45" s="15" t="s">
        <v>179</v>
      </c>
      <c r="B45" s="6">
        <v>624568</v>
      </c>
      <c r="C45" s="6">
        <v>112827</v>
      </c>
      <c r="D45" s="7">
        <f t="shared" si="2"/>
        <v>0.18064806394179658</v>
      </c>
      <c r="E45" s="187"/>
      <c r="F45" s="195"/>
      <c r="G45" s="95"/>
      <c r="H45" s="8"/>
      <c r="I45" s="67"/>
      <c r="J45" s="89">
        <f t="shared" si="3"/>
        <v>0</v>
      </c>
    </row>
    <row r="46" spans="1:10" x14ac:dyDescent="0.25">
      <c r="A46" s="15" t="s">
        <v>8</v>
      </c>
      <c r="B46" s="6">
        <v>1276586</v>
      </c>
      <c r="C46" s="6">
        <v>259842</v>
      </c>
      <c r="D46" s="7">
        <f t="shared" si="2"/>
        <v>0.20354445372266342</v>
      </c>
      <c r="E46" s="187"/>
      <c r="F46" s="195"/>
      <c r="G46" s="95"/>
      <c r="H46" s="8"/>
      <c r="I46" s="67"/>
      <c r="J46" s="89">
        <f t="shared" si="3"/>
        <v>0</v>
      </c>
    </row>
    <row r="47" spans="1:10" x14ac:dyDescent="0.25">
      <c r="A47" s="15" t="s">
        <v>27</v>
      </c>
      <c r="B47" s="6">
        <v>759821</v>
      </c>
      <c r="C47" s="6">
        <v>139815</v>
      </c>
      <c r="D47" s="7">
        <f t="shared" si="2"/>
        <v>0.18401044456523313</v>
      </c>
      <c r="E47" s="187"/>
      <c r="F47" s="195"/>
      <c r="G47" s="95"/>
      <c r="H47" s="9">
        <f>(200000/100)-1006.17002526199</f>
        <v>993.82997473801004</v>
      </c>
      <c r="I47" s="67"/>
      <c r="J47" s="89">
        <f t="shared" si="3"/>
        <v>993.82997473801004</v>
      </c>
    </row>
    <row r="48" spans="1:10" x14ac:dyDescent="0.25">
      <c r="A48" s="15" t="s">
        <v>29</v>
      </c>
      <c r="B48" s="6">
        <v>9361608.9000000004</v>
      </c>
      <c r="C48" s="6">
        <v>1599092</v>
      </c>
      <c r="D48" s="7">
        <f t="shared" si="2"/>
        <v>0.17081380103370905</v>
      </c>
      <c r="E48" s="186">
        <v>0.1</v>
      </c>
      <c r="F48" s="194">
        <f>IF(D48&lt;E48, E48*B48-C48, 0)</f>
        <v>0</v>
      </c>
      <c r="G48" s="17">
        <f>IF(F48&gt;SUM(H48:I48),F48-SUM(H48:I48),0)</f>
        <v>0</v>
      </c>
      <c r="H48" s="11"/>
      <c r="I48" s="84">
        <f>'GEF projects'!B11</f>
        <v>51417</v>
      </c>
      <c r="J48" s="89">
        <f t="shared" si="3"/>
        <v>51417</v>
      </c>
    </row>
    <row r="49" spans="1:10" ht="30" x14ac:dyDescent="0.25">
      <c r="A49" s="15" t="s">
        <v>129</v>
      </c>
      <c r="B49" s="6">
        <v>1102.5</v>
      </c>
      <c r="C49" s="6">
        <v>462</v>
      </c>
      <c r="D49" s="7">
        <f t="shared" si="2"/>
        <v>0.41904761904761906</v>
      </c>
      <c r="E49" s="187"/>
      <c r="F49" s="195"/>
      <c r="G49" s="95"/>
      <c r="H49" s="11"/>
      <c r="I49" s="85"/>
      <c r="J49" s="89">
        <f t="shared" si="3"/>
        <v>0</v>
      </c>
    </row>
    <row r="50" spans="1:10" ht="30" x14ac:dyDescent="0.25">
      <c r="A50" s="15" t="s">
        <v>164</v>
      </c>
      <c r="D50" s="7"/>
      <c r="E50" s="187"/>
      <c r="F50" s="195"/>
      <c r="G50" s="95"/>
      <c r="H50" s="11"/>
      <c r="I50" s="85"/>
      <c r="J50" s="89">
        <f t="shared" si="3"/>
        <v>0</v>
      </c>
    </row>
    <row r="51" spans="1:10" x14ac:dyDescent="0.25">
      <c r="A51" s="15" t="s">
        <v>97</v>
      </c>
      <c r="B51" s="6">
        <v>142.4</v>
      </c>
      <c r="C51" s="6">
        <v>88</v>
      </c>
      <c r="D51" s="7">
        <f>C51/B51</f>
        <v>0.6179775280898876</v>
      </c>
      <c r="E51" s="187"/>
      <c r="F51" s="195"/>
      <c r="G51" s="95"/>
      <c r="H51" s="8"/>
      <c r="I51" s="67"/>
      <c r="J51" s="89">
        <f t="shared" si="3"/>
        <v>0</v>
      </c>
    </row>
    <row r="52" spans="1:10" x14ac:dyDescent="0.25">
      <c r="A52" s="15" t="s">
        <v>162</v>
      </c>
      <c r="D52" s="7"/>
      <c r="E52" s="187"/>
      <c r="F52" s="195"/>
      <c r="G52" s="95"/>
      <c r="H52" s="8"/>
      <c r="I52" s="67"/>
      <c r="J52" s="89">
        <f t="shared" si="3"/>
        <v>0</v>
      </c>
    </row>
    <row r="53" spans="1:10" x14ac:dyDescent="0.25">
      <c r="A53" s="15" t="s">
        <v>21</v>
      </c>
      <c r="B53" s="6">
        <v>1145032.8999999999</v>
      </c>
      <c r="C53" s="6">
        <v>162131.53</v>
      </c>
      <c r="D53" s="7">
        <f t="shared" ref="D53:D84" si="4">C53/B53</f>
        <v>0.1415955209671268</v>
      </c>
      <c r="E53" s="187"/>
      <c r="F53" s="195"/>
      <c r="G53" s="95"/>
      <c r="H53" s="18">
        <f>23129.603778-2535.04224585099</f>
        <v>20594.561532149011</v>
      </c>
      <c r="I53" s="84">
        <f>'GEF projects'!B12</f>
        <v>3550</v>
      </c>
      <c r="J53" s="89">
        <f t="shared" si="3"/>
        <v>24144.561532149011</v>
      </c>
    </row>
    <row r="54" spans="1:10" x14ac:dyDescent="0.25">
      <c r="A54" s="15" t="s">
        <v>114</v>
      </c>
      <c r="B54" s="6">
        <v>1701.1</v>
      </c>
      <c r="C54" s="6">
        <v>173</v>
      </c>
      <c r="D54" s="7">
        <f t="shared" si="4"/>
        <v>0.10169890071130445</v>
      </c>
      <c r="E54" s="187">
        <v>0.17</v>
      </c>
      <c r="F54" s="195" t="s">
        <v>361</v>
      </c>
      <c r="G54" s="95">
        <v>0</v>
      </c>
      <c r="H54" s="9">
        <f>381.45-130</f>
        <v>251.45</v>
      </c>
      <c r="I54" s="87">
        <f>'GEF projects'!B13</f>
        <v>0</v>
      </c>
      <c r="J54" s="89">
        <f t="shared" si="3"/>
        <v>251.45</v>
      </c>
    </row>
    <row r="55" spans="1:10" x14ac:dyDescent="0.25">
      <c r="A55" s="15" t="s">
        <v>12</v>
      </c>
      <c r="B55" s="6">
        <v>343736.7</v>
      </c>
      <c r="C55" s="6">
        <v>139539</v>
      </c>
      <c r="D55" s="7">
        <f t="shared" si="4"/>
        <v>0.4059473428353737</v>
      </c>
      <c r="E55" s="186">
        <v>0.2</v>
      </c>
      <c r="F55" s="194">
        <f>IF(D55&lt;E55, E55*B55-C55, 0)</f>
        <v>0</v>
      </c>
      <c r="G55" s="17">
        <f>IF(F55&gt;SUM(H55:I55),F55-SUM(H55:I55),0)</f>
        <v>0</v>
      </c>
      <c r="H55" s="8"/>
      <c r="I55" s="84">
        <f>'GEF projects'!B14</f>
        <v>933</v>
      </c>
      <c r="J55" s="89">
        <f t="shared" si="3"/>
        <v>933</v>
      </c>
    </row>
    <row r="56" spans="1:10" x14ac:dyDescent="0.25">
      <c r="A56" s="15" t="s">
        <v>78</v>
      </c>
      <c r="B56" s="6">
        <v>258.10000000000002</v>
      </c>
      <c r="C56" s="6">
        <v>4</v>
      </c>
      <c r="D56" s="7">
        <f t="shared" si="4"/>
        <v>1.5497869043006585E-2</v>
      </c>
      <c r="E56" s="187"/>
      <c r="F56" s="195"/>
      <c r="G56" s="95"/>
      <c r="H56" s="8"/>
      <c r="I56" s="67"/>
      <c r="J56" s="89">
        <f t="shared" si="3"/>
        <v>0</v>
      </c>
    </row>
    <row r="57" spans="1:10" x14ac:dyDescent="0.25">
      <c r="A57" s="15" t="s">
        <v>150</v>
      </c>
      <c r="B57" s="6">
        <v>51636.1</v>
      </c>
      <c r="C57" s="6">
        <v>14253</v>
      </c>
      <c r="D57" s="7">
        <f t="shared" si="4"/>
        <v>0.27602781774766105</v>
      </c>
      <c r="E57" s="187" t="s">
        <v>373</v>
      </c>
      <c r="F57" s="195">
        <f>0.005*B57</f>
        <v>258.18049999999999</v>
      </c>
      <c r="G57" s="17">
        <f>IF(F57&gt;SUM(H57:I57),F57-SUM(H57:I57),0)</f>
        <v>0</v>
      </c>
      <c r="H57" s="18">
        <f>0.005*B57</f>
        <v>258.18049999999999</v>
      </c>
      <c r="I57" s="84">
        <f>'GEF projects'!B15</f>
        <v>10</v>
      </c>
      <c r="J57" s="89">
        <f t="shared" si="3"/>
        <v>268.18049999999999</v>
      </c>
    </row>
    <row r="58" spans="1:10" x14ac:dyDescent="0.25">
      <c r="A58" s="15" t="s">
        <v>228</v>
      </c>
      <c r="B58" s="6">
        <v>324107.7</v>
      </c>
      <c r="C58" s="6">
        <v>74171</v>
      </c>
      <c r="D58" s="7">
        <f t="shared" si="4"/>
        <v>0.22884676914494781</v>
      </c>
      <c r="E58" s="187"/>
      <c r="F58" s="195"/>
      <c r="G58" s="95"/>
      <c r="H58" s="8"/>
      <c r="I58" s="84"/>
      <c r="J58" s="89">
        <f t="shared" si="3"/>
        <v>0</v>
      </c>
    </row>
    <row r="59" spans="1:10" x14ac:dyDescent="0.25">
      <c r="A59" s="15" t="s">
        <v>46</v>
      </c>
      <c r="B59" s="6">
        <v>56855.9</v>
      </c>
      <c r="C59" s="6">
        <v>21703.95</v>
      </c>
      <c r="D59" s="7">
        <f t="shared" si="4"/>
        <v>0.38173610830186488</v>
      </c>
      <c r="E59" s="187"/>
      <c r="F59" s="195"/>
      <c r="G59" s="95"/>
      <c r="H59" s="8"/>
      <c r="I59" s="67"/>
      <c r="J59" s="89">
        <f t="shared" si="3"/>
        <v>0</v>
      </c>
    </row>
    <row r="60" spans="1:10" x14ac:dyDescent="0.25">
      <c r="A60" s="15" t="s">
        <v>15</v>
      </c>
      <c r="B60" s="6">
        <v>111643.3</v>
      </c>
      <c r="C60" s="6">
        <v>18480.57</v>
      </c>
      <c r="D60" s="7">
        <f t="shared" si="4"/>
        <v>0.16553228003830053</v>
      </c>
      <c r="E60" s="186">
        <v>0.2</v>
      </c>
      <c r="F60" s="194">
        <f>IF(D60&lt;E60, E60*B60-C60, 0)</f>
        <v>3848.0900000000038</v>
      </c>
      <c r="G60" s="17">
        <f>IF(F60&gt;SUM(H60:I60),F60-SUM(H60:I60),0)</f>
        <v>2698.0900000000038</v>
      </c>
      <c r="H60" s="8"/>
      <c r="I60" s="84">
        <f>'GEF projects'!B16</f>
        <v>1150</v>
      </c>
      <c r="J60" s="89">
        <f t="shared" si="3"/>
        <v>3848.0900000000038</v>
      </c>
    </row>
    <row r="61" spans="1:10" x14ac:dyDescent="0.25">
      <c r="A61" s="15" t="s">
        <v>169</v>
      </c>
      <c r="B61" s="6">
        <v>451</v>
      </c>
      <c r="C61" s="6">
        <v>69.73</v>
      </c>
      <c r="D61" s="7">
        <f t="shared" si="4"/>
        <v>0.15461197339246122</v>
      </c>
      <c r="E61" s="187"/>
      <c r="F61" s="195"/>
      <c r="G61" s="95"/>
      <c r="H61" s="8"/>
      <c r="I61" s="67"/>
      <c r="J61" s="89">
        <f t="shared" si="3"/>
        <v>0</v>
      </c>
    </row>
    <row r="62" spans="1:10" x14ac:dyDescent="0.25">
      <c r="A62" s="15" t="s">
        <v>53</v>
      </c>
      <c r="B62" s="6">
        <v>9063.4</v>
      </c>
      <c r="C62" s="6">
        <v>1690.37</v>
      </c>
      <c r="D62" s="7">
        <f t="shared" si="4"/>
        <v>0.18650506432464636</v>
      </c>
      <c r="E62" s="187"/>
      <c r="F62" s="195"/>
      <c r="G62" s="95"/>
      <c r="H62" s="8"/>
      <c r="I62" s="67"/>
      <c r="J62" s="89">
        <f t="shared" si="3"/>
        <v>0</v>
      </c>
    </row>
    <row r="63" spans="1:10" x14ac:dyDescent="0.25">
      <c r="A63" s="15" t="s">
        <v>36</v>
      </c>
      <c r="B63" s="6">
        <v>77916.899999999994</v>
      </c>
      <c r="C63" s="6">
        <v>17263.07</v>
      </c>
      <c r="D63" s="7">
        <f t="shared" si="4"/>
        <v>0.22155745415949557</v>
      </c>
      <c r="E63" s="187"/>
      <c r="F63" s="195"/>
      <c r="G63" s="95"/>
      <c r="H63" s="8"/>
      <c r="I63" s="67"/>
      <c r="J63" s="89">
        <f t="shared" ref="J63:J94" si="5">G63+H63+I63</f>
        <v>0</v>
      </c>
    </row>
    <row r="64" spans="1:10" ht="30" x14ac:dyDescent="0.25">
      <c r="A64" s="15" t="s">
        <v>109</v>
      </c>
      <c r="B64" s="6">
        <v>122186.1</v>
      </c>
      <c r="C64" s="6">
        <v>2976</v>
      </c>
      <c r="D64" s="7">
        <f t="shared" si="4"/>
        <v>2.4356289299683025E-2</v>
      </c>
      <c r="E64" s="186">
        <v>0.08</v>
      </c>
      <c r="F64" s="194">
        <f>IF(D64&lt;E64, E64*B64-C64, 0)</f>
        <v>6798.8880000000008</v>
      </c>
      <c r="G64" s="17">
        <f>IF(F64&gt;SUM(H64:I64),F64-SUM(H64:I64),0)</f>
        <v>0</v>
      </c>
      <c r="H64" s="9">
        <f>0.08*B64-C64</f>
        <v>6798.8880000000008</v>
      </c>
      <c r="I64" s="67"/>
      <c r="J64" s="89">
        <f t="shared" si="5"/>
        <v>6798.8880000000008</v>
      </c>
    </row>
    <row r="65" spans="1:10" ht="30" x14ac:dyDescent="0.25">
      <c r="A65" s="15" t="s">
        <v>199</v>
      </c>
      <c r="B65" s="6">
        <v>2344275.1</v>
      </c>
      <c r="C65" s="6">
        <v>297828</v>
      </c>
      <c r="D65" s="7">
        <f t="shared" si="4"/>
        <v>0.12704481654051608</v>
      </c>
      <c r="E65" s="186">
        <v>0.17</v>
      </c>
      <c r="F65" s="194">
        <f>IF(D65&lt;E65, E65*B65-C65, 0)</f>
        <v>100698.76700000005</v>
      </c>
      <c r="G65" s="17">
        <f>IF(F65&gt;SUM(H65:I65),F65-SUM(H65:I65),0)</f>
        <v>45534.640500000052</v>
      </c>
      <c r="H65" s="18">
        <f>0.015*B65</f>
        <v>35164.126499999998</v>
      </c>
      <c r="I65" s="84">
        <f>'GEF projects'!B17</f>
        <v>20000</v>
      </c>
      <c r="J65" s="89">
        <f t="shared" si="5"/>
        <v>100698.76700000005</v>
      </c>
    </row>
    <row r="66" spans="1:10" x14ac:dyDescent="0.25">
      <c r="A66" s="15" t="s">
        <v>250</v>
      </c>
      <c r="B66" s="6">
        <v>45314.400000000001</v>
      </c>
      <c r="C66" s="6">
        <v>8202.68</v>
      </c>
      <c r="D66" s="7">
        <f t="shared" si="4"/>
        <v>0.18101707183588439</v>
      </c>
      <c r="E66" s="187"/>
      <c r="F66" s="195"/>
      <c r="G66" s="17"/>
      <c r="H66" s="8"/>
      <c r="I66" s="67"/>
      <c r="J66" s="89">
        <f t="shared" si="5"/>
        <v>0</v>
      </c>
    </row>
    <row r="67" spans="1:10" x14ac:dyDescent="0.25">
      <c r="A67" s="15" t="s">
        <v>148</v>
      </c>
      <c r="B67" s="6">
        <v>21843.7</v>
      </c>
      <c r="C67" s="6">
        <v>344</v>
      </c>
      <c r="D67" s="7">
        <f t="shared" si="4"/>
        <v>1.5748247778535687E-2</v>
      </c>
      <c r="E67" s="187"/>
      <c r="F67" s="195"/>
      <c r="G67" s="17"/>
      <c r="H67" s="8"/>
      <c r="I67" s="67"/>
      <c r="J67" s="89">
        <f t="shared" si="5"/>
        <v>0</v>
      </c>
    </row>
    <row r="68" spans="1:10" x14ac:dyDescent="0.25">
      <c r="A68" s="15" t="s">
        <v>82</v>
      </c>
      <c r="B68" s="6">
        <v>766.2</v>
      </c>
      <c r="C68" s="6">
        <v>169</v>
      </c>
      <c r="D68" s="7">
        <f t="shared" si="4"/>
        <v>0.22056904202558078</v>
      </c>
      <c r="E68" s="186">
        <v>0.2</v>
      </c>
      <c r="F68" s="194">
        <f>IF(D68&lt;E68, E68*B68-C68, 0)</f>
        <v>0</v>
      </c>
      <c r="G68" s="17">
        <f>IF(F68&gt;SUM(H68:I68),F68-SUM(H68:I68),0)</f>
        <v>0</v>
      </c>
      <c r="H68" s="8"/>
      <c r="I68" s="67"/>
      <c r="J68" s="89">
        <f t="shared" si="5"/>
        <v>0</v>
      </c>
    </row>
    <row r="69" spans="1:10" x14ac:dyDescent="0.25">
      <c r="A69" s="15" t="s">
        <v>55</v>
      </c>
      <c r="B69" s="6">
        <v>48509.8</v>
      </c>
      <c r="C69" s="6">
        <v>11167.4</v>
      </c>
      <c r="D69" s="7">
        <f t="shared" si="4"/>
        <v>0.2302091536143212</v>
      </c>
      <c r="E69" s="187"/>
      <c r="F69" s="195"/>
      <c r="G69" s="17"/>
      <c r="H69" s="8"/>
      <c r="I69" s="67"/>
      <c r="J69" s="89">
        <f t="shared" si="5"/>
        <v>0</v>
      </c>
    </row>
    <row r="70" spans="1:10" x14ac:dyDescent="0.25">
      <c r="A70" s="15" t="s">
        <v>91</v>
      </c>
      <c r="B70" s="6">
        <v>258138.7</v>
      </c>
      <c r="C70" s="6">
        <v>51696</v>
      </c>
      <c r="D70" s="7">
        <f t="shared" si="4"/>
        <v>0.20026443148586398</v>
      </c>
      <c r="E70" s="187"/>
      <c r="F70" s="195"/>
      <c r="G70" s="17"/>
      <c r="H70" s="11"/>
      <c r="I70" s="85"/>
      <c r="J70" s="89">
        <f t="shared" si="5"/>
        <v>0</v>
      </c>
    </row>
    <row r="71" spans="1:10" x14ac:dyDescent="0.25">
      <c r="A71" s="15" t="s">
        <v>157</v>
      </c>
      <c r="B71" s="6">
        <v>984997.5</v>
      </c>
      <c r="C71" s="6">
        <v>129394</v>
      </c>
      <c r="D71" s="7">
        <f t="shared" si="4"/>
        <v>0.13136480041827517</v>
      </c>
      <c r="E71" s="186">
        <v>0.17</v>
      </c>
      <c r="F71" s="196" t="s">
        <v>361</v>
      </c>
      <c r="G71" s="17">
        <v>0</v>
      </c>
      <c r="H71" s="9">
        <v>2000</v>
      </c>
      <c r="I71" s="84">
        <f>'GEF projects'!B18</f>
        <v>450</v>
      </c>
      <c r="J71" s="89">
        <f t="shared" si="5"/>
        <v>2450</v>
      </c>
    </row>
    <row r="72" spans="1:10" x14ac:dyDescent="0.25">
      <c r="A72" s="15" t="s">
        <v>98</v>
      </c>
      <c r="B72" s="6">
        <v>20573.3</v>
      </c>
      <c r="C72" s="6">
        <v>1806</v>
      </c>
      <c r="D72" s="7">
        <f t="shared" si="4"/>
        <v>8.7783680790150337E-2</v>
      </c>
      <c r="E72" s="187"/>
      <c r="F72" s="195"/>
      <c r="G72" s="17"/>
      <c r="H72" s="8"/>
      <c r="I72" s="84">
        <f>'GEF projects'!B19</f>
        <v>200</v>
      </c>
      <c r="J72" s="89">
        <f t="shared" si="5"/>
        <v>200</v>
      </c>
    </row>
    <row r="73" spans="1:10" x14ac:dyDescent="0.25">
      <c r="A73" s="15" t="s">
        <v>244</v>
      </c>
      <c r="B73" s="6">
        <v>27136</v>
      </c>
      <c r="C73" s="6">
        <v>5228</v>
      </c>
      <c r="D73" s="7">
        <f t="shared" si="4"/>
        <v>0.19265919811320756</v>
      </c>
      <c r="E73" s="187"/>
      <c r="F73" s="195"/>
      <c r="G73" s="17"/>
      <c r="H73" s="8"/>
      <c r="I73" s="67"/>
      <c r="J73" s="89">
        <f t="shared" si="5"/>
        <v>0</v>
      </c>
    </row>
    <row r="74" spans="1:10" x14ac:dyDescent="0.25">
      <c r="A74" s="15" t="s">
        <v>194</v>
      </c>
      <c r="B74" s="6">
        <v>121834.4</v>
      </c>
      <c r="C74" s="6">
        <v>5936</v>
      </c>
      <c r="D74" s="7">
        <f t="shared" si="4"/>
        <v>4.8721871655296047E-2</v>
      </c>
      <c r="E74" s="187" t="s">
        <v>377</v>
      </c>
      <c r="F74" s="195">
        <v>6493</v>
      </c>
      <c r="G74" s="17">
        <f>IF(F74&gt;SUM(H74:I74),F74-SUM(H74:I74),0)</f>
        <v>0</v>
      </c>
      <c r="H74" s="9">
        <v>6492.76</v>
      </c>
      <c r="I74" s="84">
        <f>'GEF projects'!B20</f>
        <v>1907.7</v>
      </c>
      <c r="J74" s="89">
        <f t="shared" si="5"/>
        <v>8400.4600000000009</v>
      </c>
    </row>
    <row r="75" spans="1:10" x14ac:dyDescent="0.25">
      <c r="A75" s="15" t="s">
        <v>241</v>
      </c>
      <c r="B75" s="6">
        <v>45416.5</v>
      </c>
      <c r="C75" s="6">
        <v>8777.67</v>
      </c>
      <c r="D75" s="7">
        <f t="shared" si="4"/>
        <v>0.19327050741470611</v>
      </c>
      <c r="E75" s="187"/>
      <c r="F75" s="195"/>
      <c r="G75" s="17"/>
      <c r="H75" s="8"/>
      <c r="I75" s="67"/>
      <c r="J75" s="89">
        <f t="shared" si="5"/>
        <v>0</v>
      </c>
    </row>
    <row r="76" spans="1:10" x14ac:dyDescent="0.25">
      <c r="A76" s="15" t="s">
        <v>174</v>
      </c>
      <c r="B76" s="6">
        <v>1135429.2</v>
      </c>
      <c r="C76" s="6">
        <v>209770</v>
      </c>
      <c r="D76" s="7">
        <f t="shared" si="4"/>
        <v>0.18474952026951572</v>
      </c>
      <c r="E76" s="186">
        <v>0.2</v>
      </c>
      <c r="F76" s="194">
        <f>IF(D76&lt;E76, E76*B76-C76, 0)</f>
        <v>17315.839999999997</v>
      </c>
      <c r="G76" s="17">
        <f>IF(F76&gt;SUM(H76:I76),F76-SUM(H76:I76),0)</f>
        <v>17315.839999999997</v>
      </c>
      <c r="H76" s="11"/>
      <c r="I76" s="85"/>
      <c r="J76" s="89">
        <f t="shared" si="5"/>
        <v>17315.839999999997</v>
      </c>
    </row>
    <row r="77" spans="1:10" x14ac:dyDescent="0.25">
      <c r="A77" s="15" t="s">
        <v>218</v>
      </c>
      <c r="B77" s="6">
        <v>12400.9</v>
      </c>
      <c r="C77" s="6">
        <v>61</v>
      </c>
      <c r="D77" s="7">
        <f t="shared" si="4"/>
        <v>4.9189978146747413E-3</v>
      </c>
      <c r="E77" s="187"/>
      <c r="F77" s="195"/>
      <c r="G77" s="95"/>
      <c r="H77" s="8"/>
      <c r="I77" s="67"/>
      <c r="J77" s="89">
        <f t="shared" si="5"/>
        <v>0</v>
      </c>
    </row>
    <row r="78" spans="1:10" x14ac:dyDescent="0.25">
      <c r="A78" s="15" t="s">
        <v>131</v>
      </c>
      <c r="B78" s="6">
        <v>1450.6</v>
      </c>
      <c r="C78" s="6">
        <v>34</v>
      </c>
      <c r="D78" s="7">
        <f t="shared" si="4"/>
        <v>2.3438577140493591E-2</v>
      </c>
      <c r="E78" s="187"/>
      <c r="F78" s="195"/>
      <c r="G78" s="95"/>
      <c r="H78" s="8"/>
      <c r="I78" s="67"/>
      <c r="J78" s="89">
        <f t="shared" si="5"/>
        <v>0</v>
      </c>
    </row>
    <row r="79" spans="1:10" x14ac:dyDescent="0.25">
      <c r="A79" s="15" t="s">
        <v>81</v>
      </c>
      <c r="B79" s="6">
        <v>19155</v>
      </c>
      <c r="C79" s="6">
        <v>1035</v>
      </c>
      <c r="D79" s="7">
        <f t="shared" si="4"/>
        <v>5.4032889584964758E-2</v>
      </c>
      <c r="E79" s="187"/>
      <c r="F79" s="195"/>
      <c r="G79" s="95"/>
      <c r="H79" s="8"/>
      <c r="I79" s="84">
        <f>'GEF projects'!B21</f>
        <v>18.440000000000001</v>
      </c>
      <c r="J79" s="89">
        <f t="shared" si="5"/>
        <v>18.440000000000001</v>
      </c>
    </row>
    <row r="80" spans="1:10" x14ac:dyDescent="0.25">
      <c r="A80" s="15" t="s">
        <v>238</v>
      </c>
      <c r="B80" s="6">
        <v>335862</v>
      </c>
      <c r="C80" s="6">
        <v>50303.26</v>
      </c>
      <c r="D80" s="7">
        <f t="shared" si="4"/>
        <v>0.14977359748944508</v>
      </c>
      <c r="E80" s="186">
        <v>0.17</v>
      </c>
      <c r="F80" s="194">
        <f>IF(D80&lt;E80, E80*B80-C80, 0)</f>
        <v>6793.2799999999988</v>
      </c>
      <c r="G80" s="17">
        <f>IF(F80&gt;SUM(H80:I80),F80-SUM(H80:I80),0)</f>
        <v>6793.2799999999988</v>
      </c>
      <c r="H80" s="8"/>
      <c r="I80" s="67"/>
      <c r="J80" s="89">
        <f t="shared" si="5"/>
        <v>6793.2799999999988</v>
      </c>
    </row>
    <row r="81" spans="1:10" x14ac:dyDescent="0.25">
      <c r="A81" s="15" t="s">
        <v>247</v>
      </c>
      <c r="B81" s="6">
        <v>548954.1</v>
      </c>
      <c r="C81" s="6">
        <v>141362.16</v>
      </c>
      <c r="D81" s="7">
        <f t="shared" si="4"/>
        <v>0.25751180289936809</v>
      </c>
      <c r="E81" s="187"/>
      <c r="F81" s="195"/>
      <c r="G81" s="17"/>
      <c r="H81" s="8"/>
      <c r="I81" s="67"/>
      <c r="J81" s="89">
        <f t="shared" si="5"/>
        <v>0</v>
      </c>
    </row>
    <row r="82" spans="1:10" x14ac:dyDescent="0.25">
      <c r="A82" s="15" t="s">
        <v>236</v>
      </c>
      <c r="B82" s="6">
        <v>83034.5</v>
      </c>
      <c r="C82" s="6">
        <v>43908.84</v>
      </c>
      <c r="D82" s="7">
        <f t="shared" si="4"/>
        <v>0.52880236528190083</v>
      </c>
      <c r="E82" s="187"/>
      <c r="F82" s="195"/>
      <c r="G82" s="95"/>
      <c r="H82" s="8"/>
      <c r="I82" s="67"/>
      <c r="J82" s="89">
        <f t="shared" si="5"/>
        <v>0</v>
      </c>
    </row>
    <row r="83" spans="1:10" x14ac:dyDescent="0.25">
      <c r="A83" s="15" t="s">
        <v>136</v>
      </c>
      <c r="B83" s="6">
        <v>3780.1</v>
      </c>
      <c r="C83" s="6">
        <v>74</v>
      </c>
      <c r="D83" s="7">
        <f t="shared" si="4"/>
        <v>1.9576201687786038E-2</v>
      </c>
      <c r="E83" s="187"/>
      <c r="F83" s="195"/>
      <c r="G83" s="95"/>
      <c r="H83" s="8"/>
      <c r="I83" s="67"/>
      <c r="J83" s="89">
        <f t="shared" si="5"/>
        <v>0</v>
      </c>
    </row>
    <row r="84" spans="1:10" ht="30" x14ac:dyDescent="0.25">
      <c r="A84" s="15" t="s">
        <v>61</v>
      </c>
      <c r="B84" s="6">
        <v>7709</v>
      </c>
      <c r="C84" s="6">
        <v>7700</v>
      </c>
      <c r="D84" s="7">
        <f t="shared" si="4"/>
        <v>0.99883253340251654</v>
      </c>
      <c r="E84" s="187"/>
      <c r="F84" s="195"/>
      <c r="G84" s="95"/>
      <c r="H84" s="8"/>
      <c r="I84" s="67"/>
      <c r="J84" s="89">
        <f t="shared" si="5"/>
        <v>0</v>
      </c>
    </row>
    <row r="85" spans="1:10" x14ac:dyDescent="0.25">
      <c r="A85" s="15" t="s">
        <v>13</v>
      </c>
      <c r="B85" s="6">
        <v>266044.59999999998</v>
      </c>
      <c r="C85" s="6">
        <v>59321.42</v>
      </c>
      <c r="D85" s="7">
        <f t="shared" ref="D85:D102" si="6">C85/B85</f>
        <v>0.22297547103004536</v>
      </c>
      <c r="E85" s="187"/>
      <c r="F85" s="195"/>
      <c r="G85" s="95"/>
      <c r="H85" s="9">
        <v>20449</v>
      </c>
      <c r="I85" s="67"/>
      <c r="J85" s="89">
        <f t="shared" si="5"/>
        <v>20449</v>
      </c>
    </row>
    <row r="86" spans="1:10" x14ac:dyDescent="0.25">
      <c r="A86" s="15" t="s">
        <v>139</v>
      </c>
      <c r="B86" s="6">
        <v>10757.9</v>
      </c>
      <c r="C86" s="6">
        <v>442</v>
      </c>
      <c r="D86" s="7">
        <f t="shared" si="6"/>
        <v>4.1086085574322126E-2</v>
      </c>
      <c r="E86" s="186">
        <v>0.05</v>
      </c>
      <c r="F86" s="194">
        <f>IF(D86&lt;E86, E86*B86-C86, 0)</f>
        <v>95.894999999999982</v>
      </c>
      <c r="G86" s="17">
        <f>IF(F86&gt;SUM(H86:I86),F86-SUM(H86:I86),0)</f>
        <v>0</v>
      </c>
      <c r="H86" s="8"/>
      <c r="I86" s="84">
        <f>'GEF projects'!B22</f>
        <v>150</v>
      </c>
      <c r="J86" s="89">
        <f t="shared" si="5"/>
        <v>150</v>
      </c>
    </row>
    <row r="87" spans="1:10" x14ac:dyDescent="0.25">
      <c r="A87" s="15" t="s">
        <v>73</v>
      </c>
      <c r="B87" s="6">
        <v>69972</v>
      </c>
      <c r="C87" s="6">
        <v>5829.38</v>
      </c>
      <c r="D87" s="7">
        <f t="shared" si="6"/>
        <v>8.3310181215343282E-2</v>
      </c>
      <c r="E87" s="186">
        <v>0.12</v>
      </c>
      <c r="F87" s="194">
        <f>IF(D87&lt;E87, E87*B87-C87, 0)</f>
        <v>2567.2599999999993</v>
      </c>
      <c r="G87" s="17">
        <f>IF(F87&gt;SUM(H87:I87),F87-SUM(H87:I87),0)</f>
        <v>2457.3299999999995</v>
      </c>
      <c r="H87" s="8"/>
      <c r="I87" s="84">
        <f>'GEF projects'!B23</f>
        <v>109.93</v>
      </c>
      <c r="J87" s="89">
        <f t="shared" si="5"/>
        <v>2567.2599999999993</v>
      </c>
    </row>
    <row r="88" spans="1:10" x14ac:dyDescent="0.25">
      <c r="A88" s="15" t="s">
        <v>37</v>
      </c>
      <c r="B88" s="6">
        <v>357584.4</v>
      </c>
      <c r="C88" s="6">
        <v>135031.16</v>
      </c>
      <c r="D88" s="7">
        <f t="shared" si="6"/>
        <v>0.37762038836146095</v>
      </c>
      <c r="E88" s="186"/>
      <c r="F88" s="194"/>
      <c r="G88" s="17"/>
      <c r="H88" s="8"/>
      <c r="I88" s="67"/>
      <c r="J88" s="89">
        <f t="shared" si="5"/>
        <v>0</v>
      </c>
    </row>
    <row r="89" spans="1:10" x14ac:dyDescent="0.25">
      <c r="A89" s="15" t="s">
        <v>202</v>
      </c>
      <c r="B89" s="6">
        <v>240330</v>
      </c>
      <c r="C89" s="6">
        <v>36196</v>
      </c>
      <c r="D89" s="7">
        <f t="shared" si="6"/>
        <v>0.15060957849623435</v>
      </c>
      <c r="E89" s="186">
        <v>0.17</v>
      </c>
      <c r="F89" s="196" t="s">
        <v>361</v>
      </c>
      <c r="G89" s="17">
        <v>0</v>
      </c>
      <c r="H89" s="8"/>
      <c r="I89" s="67"/>
      <c r="J89" s="89">
        <f t="shared" si="5"/>
        <v>0</v>
      </c>
    </row>
    <row r="90" spans="1:10" x14ac:dyDescent="0.25">
      <c r="A90" s="15" t="s">
        <v>211</v>
      </c>
      <c r="B90" s="6">
        <v>7.5</v>
      </c>
      <c r="C90" s="6">
        <v>2</v>
      </c>
      <c r="D90" s="7">
        <f t="shared" si="6"/>
        <v>0.26666666666666666</v>
      </c>
      <c r="E90" s="187"/>
      <c r="F90" s="195"/>
      <c r="G90" s="95"/>
      <c r="H90" s="8"/>
      <c r="I90" s="67"/>
      <c r="J90" s="89">
        <f t="shared" si="5"/>
        <v>0</v>
      </c>
    </row>
    <row r="91" spans="1:10" x14ac:dyDescent="0.25">
      <c r="A91" s="15" t="s">
        <v>75</v>
      </c>
      <c r="B91" s="6">
        <v>133012.29999999999</v>
      </c>
      <c r="C91" s="6">
        <v>46509.1</v>
      </c>
      <c r="D91" s="7">
        <f t="shared" si="6"/>
        <v>0.34966014421222702</v>
      </c>
      <c r="E91" s="187"/>
      <c r="F91" s="195"/>
      <c r="G91" s="17"/>
      <c r="H91" s="8"/>
      <c r="I91" s="67"/>
      <c r="J91" s="89">
        <f t="shared" si="5"/>
        <v>0</v>
      </c>
    </row>
    <row r="92" spans="1:10" x14ac:dyDescent="0.25">
      <c r="A92" s="15" t="s">
        <v>181</v>
      </c>
      <c r="B92" s="6">
        <v>2154016.5</v>
      </c>
      <c r="C92" s="6">
        <v>885647</v>
      </c>
      <c r="D92" s="7">
        <f t="shared" si="6"/>
        <v>0.41116073159142469</v>
      </c>
      <c r="E92" s="187"/>
      <c r="F92" s="195"/>
      <c r="G92" s="95"/>
      <c r="H92" s="8"/>
      <c r="I92" s="67"/>
      <c r="J92" s="89">
        <f t="shared" si="5"/>
        <v>0</v>
      </c>
    </row>
    <row r="93" spans="1:10" x14ac:dyDescent="0.25">
      <c r="A93" s="15" t="s">
        <v>159</v>
      </c>
      <c r="B93" s="6">
        <v>373.6</v>
      </c>
      <c r="C93" s="6">
        <v>34.729999999999997</v>
      </c>
      <c r="D93" s="7">
        <f t="shared" si="6"/>
        <v>9.2960385438972143E-2</v>
      </c>
      <c r="E93" s="187"/>
      <c r="F93" s="195"/>
      <c r="G93" s="17"/>
      <c r="H93" s="8"/>
      <c r="I93" s="84">
        <f>'GEF projects'!B24</f>
        <v>10</v>
      </c>
      <c r="J93" s="89">
        <f t="shared" si="5"/>
        <v>10</v>
      </c>
    </row>
    <row r="94" spans="1:10" x14ac:dyDescent="0.25">
      <c r="A94" s="15" t="s">
        <v>144</v>
      </c>
      <c r="B94" s="6">
        <v>1678.5</v>
      </c>
      <c r="C94" s="6">
        <v>1222</v>
      </c>
      <c r="D94" s="7">
        <f t="shared" si="6"/>
        <v>0.72803098004170386</v>
      </c>
      <c r="E94" s="187"/>
      <c r="F94" s="195"/>
      <c r="G94" s="95"/>
      <c r="H94" s="8"/>
      <c r="I94" s="67"/>
      <c r="J94" s="89">
        <f t="shared" si="5"/>
        <v>0</v>
      </c>
    </row>
    <row r="95" spans="1:10" x14ac:dyDescent="0.25">
      <c r="A95" s="15" t="s">
        <v>177</v>
      </c>
      <c r="B95" s="6">
        <v>561.20000000000005</v>
      </c>
      <c r="C95" s="6">
        <v>123</v>
      </c>
      <c r="D95" s="7">
        <f t="shared" si="6"/>
        <v>0.21917320028510334</v>
      </c>
      <c r="E95" s="187"/>
      <c r="F95" s="195"/>
      <c r="G95" s="95"/>
      <c r="H95" s="8"/>
      <c r="I95" s="67"/>
      <c r="J95" s="89">
        <f t="shared" ref="J95:J103" si="7">G95+H95+I95</f>
        <v>0</v>
      </c>
    </row>
    <row r="96" spans="1:10" x14ac:dyDescent="0.25">
      <c r="A96" s="15" t="s">
        <v>196</v>
      </c>
      <c r="B96" s="6">
        <v>109922.3</v>
      </c>
      <c r="C96" s="6">
        <v>34896</v>
      </c>
      <c r="D96" s="7">
        <f t="shared" si="6"/>
        <v>0.31746060626460693</v>
      </c>
      <c r="E96" s="187">
        <v>0.4</v>
      </c>
      <c r="F96" s="195" t="s">
        <v>381</v>
      </c>
      <c r="G96" s="17">
        <v>0</v>
      </c>
      <c r="H96" s="18">
        <v>200</v>
      </c>
      <c r="I96" s="85"/>
      <c r="J96" s="89">
        <f t="shared" si="7"/>
        <v>200</v>
      </c>
    </row>
    <row r="97" spans="1:10" x14ac:dyDescent="0.25">
      <c r="A97" s="15" t="s">
        <v>222</v>
      </c>
      <c r="B97" s="6">
        <v>85.6</v>
      </c>
      <c r="C97" s="6">
        <v>3.43</v>
      </c>
      <c r="D97" s="7">
        <f t="shared" si="6"/>
        <v>4.0070093457943927E-2</v>
      </c>
      <c r="E97" s="187"/>
      <c r="F97" s="195"/>
      <c r="G97" s="95"/>
      <c r="H97" s="8"/>
      <c r="I97" s="67"/>
      <c r="J97" s="89">
        <f t="shared" si="7"/>
        <v>0</v>
      </c>
    </row>
    <row r="98" spans="1:10" x14ac:dyDescent="0.25">
      <c r="A98" s="15" t="s">
        <v>11</v>
      </c>
      <c r="B98" s="6">
        <v>246426.8</v>
      </c>
      <c r="C98" s="6">
        <v>87841.78</v>
      </c>
      <c r="D98" s="7">
        <f t="shared" si="6"/>
        <v>0.35646195949466536</v>
      </c>
      <c r="E98" s="186">
        <v>0.17</v>
      </c>
      <c r="F98" s="194">
        <f>IF(D98&lt;E98, E98*B98-C98, 0)</f>
        <v>0</v>
      </c>
      <c r="G98" s="17">
        <f>IF(F98&gt;SUM(H98:I98),F98-SUM(H98:I98),0)</f>
        <v>0</v>
      </c>
      <c r="H98" s="8"/>
      <c r="I98" s="67"/>
      <c r="J98" s="89">
        <f t="shared" si="7"/>
        <v>0</v>
      </c>
    </row>
    <row r="99" spans="1:10" x14ac:dyDescent="0.25">
      <c r="A99" s="15" t="s">
        <v>42</v>
      </c>
      <c r="B99" s="6">
        <v>34015.699999999997</v>
      </c>
      <c r="C99" s="6">
        <v>5668</v>
      </c>
      <c r="D99" s="7">
        <f t="shared" si="6"/>
        <v>0.16662893898993703</v>
      </c>
      <c r="E99" s="187"/>
      <c r="F99" s="195"/>
      <c r="G99" s="17"/>
      <c r="H99" s="8"/>
      <c r="I99" s="67"/>
      <c r="J99" s="89">
        <f t="shared" si="7"/>
        <v>0</v>
      </c>
    </row>
    <row r="100" spans="1:10" x14ac:dyDescent="0.25">
      <c r="A100" s="15" t="s">
        <v>103</v>
      </c>
      <c r="B100" s="6">
        <v>211200.3</v>
      </c>
      <c r="C100" s="6">
        <v>18454</v>
      </c>
      <c r="D100" s="7">
        <f t="shared" si="6"/>
        <v>8.737676982466408E-2</v>
      </c>
      <c r="E100" s="186">
        <v>0.17</v>
      </c>
      <c r="F100" s="194">
        <f>IF(D100&lt;E100, E100*B100-C100, 0)</f>
        <v>17450.050999999999</v>
      </c>
      <c r="G100" s="17">
        <f>IF(F100&gt;SUM(H100:I100),F100-SUM(H100:I100),0)</f>
        <v>17450.050999999999</v>
      </c>
      <c r="H100" s="9"/>
      <c r="I100" s="67"/>
      <c r="J100" s="89">
        <f t="shared" si="7"/>
        <v>17450.050999999999</v>
      </c>
    </row>
    <row r="101" spans="1:10" x14ac:dyDescent="0.25">
      <c r="A101" s="15" t="s">
        <v>132</v>
      </c>
      <c r="B101" s="6">
        <v>27390.2</v>
      </c>
      <c r="C101" s="6">
        <v>74</v>
      </c>
      <c r="D101" s="7">
        <f t="shared" si="6"/>
        <v>2.7016962271177282E-3</v>
      </c>
      <c r="E101" s="187"/>
      <c r="F101" s="195"/>
      <c r="G101" s="95"/>
      <c r="H101" s="8"/>
      <c r="I101" s="67"/>
      <c r="J101" s="89">
        <f t="shared" si="7"/>
        <v>0</v>
      </c>
    </row>
    <row r="102" spans="1:10" ht="30" x14ac:dyDescent="0.25">
      <c r="A102" s="15" t="s">
        <v>191</v>
      </c>
      <c r="B102" s="6">
        <v>391.2</v>
      </c>
      <c r="C102" s="6">
        <v>391</v>
      </c>
      <c r="D102" s="7">
        <f t="shared" si="6"/>
        <v>0.99948875255623726</v>
      </c>
      <c r="E102" s="187"/>
      <c r="F102" s="195"/>
      <c r="G102" s="95"/>
      <c r="H102" s="8"/>
      <c r="I102" s="67"/>
      <c r="J102" s="89">
        <f t="shared" si="7"/>
        <v>0</v>
      </c>
    </row>
    <row r="103" spans="1:10" x14ac:dyDescent="0.25">
      <c r="A103" s="15" t="s">
        <v>167</v>
      </c>
      <c r="D103" s="7"/>
      <c r="E103" s="187"/>
      <c r="F103" s="195"/>
      <c r="G103" s="95"/>
      <c r="H103" s="8"/>
      <c r="I103" s="67"/>
      <c r="J103" s="89">
        <f t="shared" si="7"/>
        <v>0</v>
      </c>
    </row>
    <row r="104" spans="1:10" x14ac:dyDescent="0.25">
      <c r="A104" s="15" t="s">
        <v>31</v>
      </c>
      <c r="B104" s="6">
        <v>113291.5</v>
      </c>
      <c r="C104" s="6">
        <v>32220</v>
      </c>
      <c r="D104" s="7">
        <f t="shared" ref="D104:D121" si="8">C104/B104</f>
        <v>0.28439909437159894</v>
      </c>
      <c r="E104" s="187"/>
      <c r="H104" s="8"/>
      <c r="I104" s="67"/>
      <c r="J104" s="89">
        <f>G105+H104+I104</f>
        <v>0</v>
      </c>
    </row>
    <row r="105" spans="1:10" x14ac:dyDescent="0.25">
      <c r="A105" s="15" t="s">
        <v>235</v>
      </c>
      <c r="B105" s="6">
        <v>93142.5</v>
      </c>
      <c r="C105" s="6">
        <v>21012.61</v>
      </c>
      <c r="D105" s="7">
        <f t="shared" si="8"/>
        <v>0.22559637115172987</v>
      </c>
      <c r="E105" s="187"/>
      <c r="F105" s="195"/>
      <c r="G105" s="17"/>
      <c r="H105" s="8"/>
      <c r="I105" s="67"/>
      <c r="J105" s="89">
        <f>G106+H105+I105</f>
        <v>0</v>
      </c>
    </row>
    <row r="106" spans="1:10" x14ac:dyDescent="0.25">
      <c r="A106" s="15" t="s">
        <v>220</v>
      </c>
      <c r="B106" s="6">
        <v>102301.8</v>
      </c>
      <c r="C106" s="6">
        <v>17845</v>
      </c>
      <c r="D106" s="7">
        <f t="shared" si="8"/>
        <v>0.17443485842868844</v>
      </c>
      <c r="E106" s="187"/>
      <c r="F106" s="195"/>
      <c r="G106" s="95"/>
      <c r="H106" s="8"/>
      <c r="I106" s="67"/>
      <c r="J106" s="89">
        <f t="shared" ref="J106:J137" si="9">G106+H106+I106</f>
        <v>0</v>
      </c>
    </row>
    <row r="107" spans="1:10" x14ac:dyDescent="0.25">
      <c r="A107" s="15" t="s">
        <v>48</v>
      </c>
      <c r="B107" s="6">
        <v>3061193.5</v>
      </c>
      <c r="C107" s="6">
        <v>182647</v>
      </c>
      <c r="D107" s="7">
        <f t="shared" si="8"/>
        <v>5.9665290678292633E-2</v>
      </c>
      <c r="E107" s="187"/>
      <c r="F107" s="195"/>
      <c r="G107" s="17"/>
      <c r="H107" s="11"/>
      <c r="I107" s="84">
        <f>'GEF projects'!B25</f>
        <v>13134</v>
      </c>
      <c r="J107" s="89">
        <f t="shared" si="9"/>
        <v>13134</v>
      </c>
    </row>
    <row r="108" spans="1:10" x14ac:dyDescent="0.25">
      <c r="A108" s="15" t="s">
        <v>214</v>
      </c>
      <c r="B108" s="6">
        <v>1906555</v>
      </c>
      <c r="C108" s="6">
        <v>226249</v>
      </c>
      <c r="D108" s="7">
        <f t="shared" si="8"/>
        <v>0.11866901295792673</v>
      </c>
      <c r="E108" s="187"/>
      <c r="F108" s="195"/>
      <c r="G108" s="95"/>
      <c r="H108" s="11"/>
      <c r="I108" s="85">
        <f>'GEF projects'!B26</f>
        <v>800</v>
      </c>
      <c r="J108" s="89">
        <f t="shared" si="9"/>
        <v>800</v>
      </c>
    </row>
    <row r="109" spans="1:10" x14ac:dyDescent="0.25">
      <c r="A109" s="15" t="s">
        <v>9</v>
      </c>
      <c r="B109" s="6">
        <v>1627857.2</v>
      </c>
      <c r="C109" s="6">
        <v>140226</v>
      </c>
      <c r="D109" s="7">
        <f t="shared" si="8"/>
        <v>8.6141462531234309E-2</v>
      </c>
      <c r="E109" s="187">
        <v>0.2</v>
      </c>
      <c r="F109" s="195" t="s">
        <v>361</v>
      </c>
      <c r="G109" s="95">
        <v>0</v>
      </c>
      <c r="H109" s="11"/>
      <c r="I109" s="84">
        <f>'GEF projects'!B27</f>
        <v>1000</v>
      </c>
      <c r="J109" s="89">
        <f t="shared" si="9"/>
        <v>1000</v>
      </c>
    </row>
    <row r="110" spans="1:10" x14ac:dyDescent="0.25">
      <c r="A110" s="15" t="s">
        <v>19</v>
      </c>
      <c r="B110" s="6">
        <v>437830.5</v>
      </c>
      <c r="C110" s="6">
        <v>6746</v>
      </c>
      <c r="D110" s="7">
        <f t="shared" si="8"/>
        <v>1.5407789087329458E-2</v>
      </c>
      <c r="E110" s="187"/>
      <c r="F110" s="195"/>
      <c r="G110" s="17"/>
      <c r="H110" s="8"/>
      <c r="I110" s="84">
        <f>'GEF projects'!B28</f>
        <v>2240</v>
      </c>
      <c r="J110" s="89">
        <f t="shared" si="9"/>
        <v>2240</v>
      </c>
    </row>
    <row r="111" spans="1:10" x14ac:dyDescent="0.25">
      <c r="A111" s="15" t="s">
        <v>227</v>
      </c>
      <c r="B111" s="6">
        <v>70128.399999999994</v>
      </c>
      <c r="C111" s="6">
        <v>10084.9</v>
      </c>
      <c r="D111" s="7">
        <f t="shared" si="8"/>
        <v>0.14380621830813195</v>
      </c>
      <c r="E111" s="187"/>
      <c r="F111" s="195"/>
      <c r="G111" s="17"/>
      <c r="H111" s="8"/>
      <c r="I111" s="67"/>
      <c r="J111" s="89">
        <f t="shared" si="9"/>
        <v>0</v>
      </c>
    </row>
    <row r="112" spans="1:10" x14ac:dyDescent="0.25">
      <c r="A112" s="15" t="s">
        <v>58</v>
      </c>
      <c r="B112" s="6">
        <v>582.20000000000005</v>
      </c>
      <c r="C112" s="6">
        <v>22</v>
      </c>
      <c r="D112" s="7">
        <f t="shared" si="8"/>
        <v>3.7787701820680177E-2</v>
      </c>
      <c r="E112" s="187"/>
      <c r="F112" s="195"/>
      <c r="G112" s="95"/>
      <c r="H112" s="8"/>
      <c r="I112" s="67"/>
      <c r="J112" s="89">
        <f t="shared" si="9"/>
        <v>0</v>
      </c>
    </row>
    <row r="113" spans="1:10" x14ac:dyDescent="0.25">
      <c r="A113" s="15" t="s">
        <v>208</v>
      </c>
      <c r="B113" s="6">
        <v>20958</v>
      </c>
      <c r="C113" s="6">
        <v>4180</v>
      </c>
      <c r="D113" s="7">
        <f t="shared" si="8"/>
        <v>0.19944651207176256</v>
      </c>
      <c r="E113" s="187"/>
      <c r="F113" s="195"/>
      <c r="G113" s="95"/>
      <c r="H113" s="8"/>
      <c r="I113" s="67"/>
      <c r="J113" s="89">
        <f t="shared" si="9"/>
        <v>0</v>
      </c>
    </row>
    <row r="114" spans="1:10" x14ac:dyDescent="0.25">
      <c r="A114" s="15" t="s">
        <v>226</v>
      </c>
      <c r="B114" s="6">
        <v>301335.3</v>
      </c>
      <c r="C114" s="6">
        <v>64791.89</v>
      </c>
      <c r="D114" s="7">
        <f t="shared" si="8"/>
        <v>0.215015930758859</v>
      </c>
      <c r="E114" s="187"/>
      <c r="F114" s="195"/>
      <c r="G114" s="17"/>
      <c r="H114" s="8"/>
      <c r="I114" s="67"/>
      <c r="J114" s="89">
        <f t="shared" si="9"/>
        <v>0</v>
      </c>
    </row>
    <row r="115" spans="1:10" x14ac:dyDescent="0.25">
      <c r="A115" s="15" t="s">
        <v>190</v>
      </c>
      <c r="B115" s="6">
        <v>11058.9</v>
      </c>
      <c r="C115" s="6">
        <v>1760</v>
      </c>
      <c r="D115" s="7">
        <f t="shared" si="8"/>
        <v>0.15914783567985966</v>
      </c>
      <c r="E115" s="186">
        <v>0.17</v>
      </c>
      <c r="F115" s="194">
        <f>IF(D115&lt;E115, E115*B115-C115, 0)</f>
        <v>120.01300000000015</v>
      </c>
      <c r="G115" s="17">
        <f>IF(F115&gt;SUM(H115:I115),F115-SUM(H115:I115),0)</f>
        <v>120.01300000000015</v>
      </c>
      <c r="H115" s="8"/>
      <c r="I115" s="67"/>
      <c r="J115" s="89">
        <f t="shared" si="9"/>
        <v>120.01300000000015</v>
      </c>
    </row>
    <row r="116" spans="1:10" x14ac:dyDescent="0.25">
      <c r="A116" s="15" t="s">
        <v>153</v>
      </c>
      <c r="B116" s="6">
        <v>374092.79999999999</v>
      </c>
      <c r="C116" s="6">
        <v>72408.3</v>
      </c>
      <c r="D116" s="7">
        <f t="shared" si="8"/>
        <v>0.19355705322315747</v>
      </c>
      <c r="E116" s="186">
        <v>0.17</v>
      </c>
      <c r="F116" s="194">
        <f>IF(D116&lt;E116, E116*B116-C116, 0)</f>
        <v>0</v>
      </c>
      <c r="G116" s="17">
        <f>IF(F116&gt;SUM(H116:I116),F116-SUM(H116:I116),0)</f>
        <v>0</v>
      </c>
      <c r="H116" s="8"/>
      <c r="I116" s="67"/>
      <c r="J116" s="89">
        <f t="shared" si="9"/>
        <v>0</v>
      </c>
    </row>
    <row r="117" spans="1:10" x14ac:dyDescent="0.25">
      <c r="A117" s="15" t="s">
        <v>70</v>
      </c>
      <c r="B117" s="6">
        <v>125.2</v>
      </c>
      <c r="C117" s="6">
        <v>22.34</v>
      </c>
      <c r="D117" s="7">
        <f t="shared" si="8"/>
        <v>0.17843450479233228</v>
      </c>
      <c r="E117" s="187"/>
      <c r="F117" s="195"/>
      <c r="G117" s="95"/>
      <c r="H117" s="8"/>
      <c r="I117" s="67"/>
      <c r="J117" s="89">
        <f t="shared" si="9"/>
        <v>0</v>
      </c>
    </row>
    <row r="118" spans="1:10" x14ac:dyDescent="0.25">
      <c r="A118" s="15" t="s">
        <v>43</v>
      </c>
      <c r="B118" s="6">
        <v>89689.8</v>
      </c>
      <c r="C118" s="6">
        <v>1621</v>
      </c>
      <c r="D118" s="7">
        <f t="shared" si="8"/>
        <v>1.8073404110612354E-2</v>
      </c>
      <c r="E118" s="186">
        <v>0.02</v>
      </c>
      <c r="F118" s="194">
        <f>IF(D118&lt;E118, E118*B118-C118, 0)</f>
        <v>172.79600000000005</v>
      </c>
      <c r="G118" s="17">
        <f>IF(F118&gt;SUM(H118:I118),F118-SUM(H118:I118),0)</f>
        <v>172.79600000000005</v>
      </c>
      <c r="H118" s="8"/>
      <c r="I118" s="67"/>
      <c r="J118" s="89">
        <f t="shared" si="9"/>
        <v>172.79600000000005</v>
      </c>
    </row>
    <row r="119" spans="1:10" x14ac:dyDescent="0.25">
      <c r="A119" s="15" t="s">
        <v>187</v>
      </c>
      <c r="B119" s="6">
        <v>2719827.9</v>
      </c>
      <c r="C119" s="6">
        <v>89295</v>
      </c>
      <c r="D119" s="7">
        <f t="shared" si="8"/>
        <v>3.2831121410292173E-2</v>
      </c>
      <c r="E119" s="187"/>
      <c r="F119" s="195"/>
      <c r="G119" s="95"/>
      <c r="H119" s="8"/>
      <c r="I119" s="84">
        <f>'GEF projects'!B29</f>
        <v>37907.629999999997</v>
      </c>
      <c r="J119" s="89">
        <f t="shared" si="9"/>
        <v>37907.629999999997</v>
      </c>
    </row>
    <row r="120" spans="1:10" x14ac:dyDescent="0.25">
      <c r="A120" s="15" t="s">
        <v>25</v>
      </c>
      <c r="B120" s="6">
        <v>586770</v>
      </c>
      <c r="C120" s="6">
        <v>72544</v>
      </c>
      <c r="D120" s="7">
        <f t="shared" si="8"/>
        <v>0.12363276922814731</v>
      </c>
      <c r="E120" s="187"/>
      <c r="F120" s="195"/>
      <c r="G120" s="95"/>
      <c r="H120" s="11"/>
      <c r="I120" s="85"/>
      <c r="J120" s="89">
        <f t="shared" si="9"/>
        <v>0</v>
      </c>
    </row>
    <row r="121" spans="1:10" x14ac:dyDescent="0.25">
      <c r="A121" s="15" t="s">
        <v>74</v>
      </c>
      <c r="B121" s="6">
        <v>1032.5999999999999</v>
      </c>
      <c r="C121" s="6">
        <v>231</v>
      </c>
      <c r="D121" s="7">
        <f t="shared" si="8"/>
        <v>0.22370714700755376</v>
      </c>
      <c r="E121" s="186"/>
      <c r="F121" s="194"/>
      <c r="G121" s="17"/>
      <c r="H121" s="8"/>
      <c r="I121" s="84">
        <f>'GEF projects'!B30</f>
        <v>74</v>
      </c>
      <c r="J121" s="89">
        <f t="shared" si="9"/>
        <v>74</v>
      </c>
    </row>
    <row r="122" spans="1:10" x14ac:dyDescent="0.25">
      <c r="A122" s="15" t="s">
        <v>163</v>
      </c>
      <c r="D122" s="7"/>
      <c r="E122" s="187"/>
      <c r="F122" s="195"/>
      <c r="G122" s="95"/>
      <c r="H122" s="8"/>
      <c r="I122" s="67"/>
      <c r="J122" s="89">
        <f t="shared" si="9"/>
        <v>0</v>
      </c>
    </row>
    <row r="123" spans="1:10" x14ac:dyDescent="0.25">
      <c r="A123" s="15" t="s">
        <v>239</v>
      </c>
      <c r="B123" s="6">
        <v>17417.900000000001</v>
      </c>
      <c r="C123" s="6">
        <v>3048</v>
      </c>
      <c r="D123" s="7">
        <f t="shared" ref="D123:D154" si="10">C123/B123</f>
        <v>0.17499239288318338</v>
      </c>
      <c r="E123" s="187"/>
      <c r="F123" s="195"/>
      <c r="G123" s="95"/>
      <c r="H123" s="9">
        <v>796.024</v>
      </c>
      <c r="I123" s="67"/>
      <c r="J123" s="89">
        <f t="shared" si="9"/>
        <v>796.024</v>
      </c>
    </row>
    <row r="124" spans="1:10" x14ac:dyDescent="0.25">
      <c r="A124" s="15" t="s">
        <v>80</v>
      </c>
      <c r="B124" s="6">
        <v>199957</v>
      </c>
      <c r="C124" s="6">
        <v>13026</v>
      </c>
      <c r="D124" s="7">
        <f t="shared" si="10"/>
        <v>6.514400596128167E-2</v>
      </c>
      <c r="E124" s="186">
        <v>0.1</v>
      </c>
      <c r="F124" s="194" t="s">
        <v>386</v>
      </c>
      <c r="G124" s="17">
        <v>0</v>
      </c>
      <c r="H124" s="9">
        <v>368</v>
      </c>
      <c r="I124" s="84">
        <f>'GEF projects'!B31</f>
        <v>2894.85</v>
      </c>
      <c r="J124" s="89">
        <f t="shared" si="9"/>
        <v>3262.85</v>
      </c>
    </row>
    <row r="125" spans="1:10" ht="30" x14ac:dyDescent="0.25">
      <c r="A125" s="15" t="s">
        <v>149</v>
      </c>
      <c r="B125" s="6">
        <v>231276.1</v>
      </c>
      <c r="C125" s="6">
        <v>38582</v>
      </c>
      <c r="D125" s="7">
        <f t="shared" si="10"/>
        <v>0.1668222527100725</v>
      </c>
      <c r="E125" s="187"/>
      <c r="F125" s="195"/>
      <c r="G125" s="17"/>
      <c r="H125" s="8"/>
      <c r="I125" s="67">
        <f>'GEF projects'!B32</f>
        <v>500</v>
      </c>
      <c r="J125" s="89">
        <f t="shared" si="9"/>
        <v>500</v>
      </c>
    </row>
    <row r="126" spans="1:10" x14ac:dyDescent="0.25">
      <c r="A126" s="15" t="s">
        <v>225</v>
      </c>
      <c r="B126" s="6">
        <v>64501.9</v>
      </c>
      <c r="C126" s="6">
        <v>11720.44</v>
      </c>
      <c r="D126" s="7">
        <f t="shared" si="10"/>
        <v>0.18170689545579277</v>
      </c>
      <c r="E126" s="187"/>
      <c r="F126" s="195"/>
      <c r="G126" s="17"/>
      <c r="H126" s="8"/>
      <c r="I126" s="67"/>
      <c r="J126" s="89">
        <f t="shared" si="9"/>
        <v>0</v>
      </c>
    </row>
    <row r="127" spans="1:10" x14ac:dyDescent="0.25">
      <c r="A127" s="15" t="s">
        <v>197</v>
      </c>
      <c r="B127" s="6">
        <v>10329</v>
      </c>
      <c r="C127" s="6">
        <v>268</v>
      </c>
      <c r="D127" s="7">
        <f t="shared" si="10"/>
        <v>2.5946364604511569E-2</v>
      </c>
      <c r="E127" s="187"/>
      <c r="F127" s="194"/>
      <c r="G127" s="17"/>
      <c r="H127" s="9">
        <f>0.04*B127-C127</f>
        <v>145.16000000000003</v>
      </c>
      <c r="I127" s="67"/>
      <c r="J127" s="89">
        <f t="shared" si="9"/>
        <v>145.16000000000003</v>
      </c>
    </row>
    <row r="128" spans="1:10" x14ac:dyDescent="0.25">
      <c r="A128" s="15" t="s">
        <v>151</v>
      </c>
      <c r="B128" s="6">
        <v>30495</v>
      </c>
      <c r="C128" s="6">
        <v>79</v>
      </c>
      <c r="D128" s="7">
        <f t="shared" si="10"/>
        <v>2.590588621085424E-3</v>
      </c>
      <c r="E128" s="187"/>
      <c r="F128" s="195"/>
      <c r="G128" s="95"/>
      <c r="H128" s="9">
        <f>156.54+2939.43</f>
        <v>3095.97</v>
      </c>
      <c r="I128" s="67"/>
      <c r="J128" s="89">
        <f t="shared" si="9"/>
        <v>3095.97</v>
      </c>
    </row>
    <row r="129" spans="1:10" x14ac:dyDescent="0.25">
      <c r="A129" s="15" t="s">
        <v>23</v>
      </c>
      <c r="B129" s="6">
        <v>96634.4</v>
      </c>
      <c r="C129" s="6">
        <v>3914.96</v>
      </c>
      <c r="D129" s="7">
        <f t="shared" si="10"/>
        <v>4.0513109203347879E-2</v>
      </c>
      <c r="E129" s="187">
        <v>0.04</v>
      </c>
      <c r="F129" s="194">
        <f>IF(D129&lt;E129, E129*B129-C129, 0)</f>
        <v>0</v>
      </c>
      <c r="G129" s="17">
        <f>IF(F129&gt;SUM(H129:I129),F129-SUM(H129:I129),0)</f>
        <v>0</v>
      </c>
      <c r="H129" s="9">
        <f>0.1*B129-C129</f>
        <v>5748.4800000000005</v>
      </c>
      <c r="I129" s="67"/>
      <c r="J129" s="89">
        <f t="shared" si="9"/>
        <v>5748.4800000000005</v>
      </c>
    </row>
    <row r="130" spans="1:10" x14ac:dyDescent="0.25">
      <c r="A130" s="15" t="s">
        <v>84</v>
      </c>
      <c r="B130" s="6">
        <v>1622615.4</v>
      </c>
      <c r="C130" s="6">
        <v>3438</v>
      </c>
      <c r="D130" s="7">
        <f t="shared" si="10"/>
        <v>2.1188015348553948E-3</v>
      </c>
      <c r="E130" s="187"/>
      <c r="F130" s="195"/>
      <c r="G130" s="95"/>
      <c r="H130" s="8"/>
      <c r="I130" s="67"/>
      <c r="J130" s="89">
        <f t="shared" si="9"/>
        <v>0</v>
      </c>
    </row>
    <row r="131" spans="1:10" x14ac:dyDescent="0.25">
      <c r="A131" s="15" t="s">
        <v>85</v>
      </c>
      <c r="B131" s="6">
        <v>167.1</v>
      </c>
      <c r="C131" s="6">
        <v>71</v>
      </c>
      <c r="D131" s="7">
        <f t="shared" si="10"/>
        <v>0.42489527229204072</v>
      </c>
      <c r="E131" s="187"/>
      <c r="F131" s="195"/>
      <c r="G131" s="17"/>
      <c r="H131" s="8"/>
      <c r="I131" s="67"/>
      <c r="J131" s="89">
        <f t="shared" si="9"/>
        <v>0</v>
      </c>
    </row>
    <row r="132" spans="1:10" x14ac:dyDescent="0.25">
      <c r="A132" s="15" t="s">
        <v>54</v>
      </c>
      <c r="B132" s="6">
        <v>64696.5</v>
      </c>
      <c r="C132" s="6">
        <v>10986.3</v>
      </c>
      <c r="D132" s="7">
        <f t="shared" si="10"/>
        <v>0.16981289559713431</v>
      </c>
      <c r="E132" s="187"/>
      <c r="F132" s="195"/>
      <c r="G132" s="17"/>
      <c r="H132" s="8"/>
      <c r="I132" s="67"/>
      <c r="J132" s="89">
        <f t="shared" si="9"/>
        <v>0</v>
      </c>
    </row>
    <row r="133" spans="1:10" x14ac:dyDescent="0.25">
      <c r="A133" s="15" t="s">
        <v>30</v>
      </c>
      <c r="B133" s="6">
        <v>2603.1</v>
      </c>
      <c r="C133" s="6">
        <v>1094.3499999999999</v>
      </c>
      <c r="D133" s="7">
        <f t="shared" si="10"/>
        <v>0.42040259690369175</v>
      </c>
      <c r="E133" s="187"/>
      <c r="F133" s="195"/>
      <c r="G133" s="17"/>
      <c r="H133" s="8"/>
      <c r="I133" s="67"/>
      <c r="J133" s="89">
        <f t="shared" si="9"/>
        <v>0</v>
      </c>
    </row>
    <row r="134" spans="1:10" x14ac:dyDescent="0.25">
      <c r="A134" s="15" t="s">
        <v>20</v>
      </c>
      <c r="B134" s="6">
        <v>594718.69999999995</v>
      </c>
      <c r="C134" s="6">
        <v>32125.57</v>
      </c>
      <c r="D134" s="7">
        <f t="shared" si="10"/>
        <v>5.4018092923595648E-2</v>
      </c>
      <c r="E134" s="186">
        <v>0.1</v>
      </c>
      <c r="F134" s="194" t="s">
        <v>369</v>
      </c>
      <c r="G134" s="17">
        <v>0</v>
      </c>
      <c r="H134" s="11"/>
      <c r="I134" s="84">
        <f>'GEF projects'!B33</f>
        <v>2970</v>
      </c>
      <c r="J134" s="89">
        <f t="shared" si="9"/>
        <v>2970</v>
      </c>
    </row>
    <row r="135" spans="1:10" x14ac:dyDescent="0.25">
      <c r="A135" s="15" t="s">
        <v>94</v>
      </c>
      <c r="B135" s="6">
        <v>118859.7</v>
      </c>
      <c r="C135" s="6">
        <v>20080</v>
      </c>
      <c r="D135" s="7">
        <f t="shared" si="10"/>
        <v>0.16893867307422111</v>
      </c>
      <c r="E135" s="187"/>
      <c r="F135" s="195"/>
      <c r="G135" s="17"/>
      <c r="H135" s="8"/>
      <c r="I135" s="67"/>
      <c r="J135" s="89">
        <f t="shared" si="9"/>
        <v>0</v>
      </c>
    </row>
    <row r="136" spans="1:10" x14ac:dyDescent="0.25">
      <c r="A136" s="15" t="s">
        <v>128</v>
      </c>
      <c r="B136" s="6">
        <v>331700.59999999998</v>
      </c>
      <c r="C136" s="6">
        <v>63474.07</v>
      </c>
      <c r="D136" s="7">
        <f t="shared" si="10"/>
        <v>0.19135952723630889</v>
      </c>
      <c r="E136" s="186">
        <v>0.2</v>
      </c>
      <c r="F136" s="194" t="s">
        <v>369</v>
      </c>
      <c r="G136" s="17">
        <v>0</v>
      </c>
      <c r="H136" s="11"/>
      <c r="I136" s="85"/>
      <c r="J136" s="89">
        <f t="shared" si="9"/>
        <v>0</v>
      </c>
    </row>
    <row r="137" spans="1:10" x14ac:dyDescent="0.25">
      <c r="A137" s="15" t="s">
        <v>203</v>
      </c>
      <c r="B137" s="6">
        <v>304.7</v>
      </c>
      <c r="C137" s="6">
        <v>3</v>
      </c>
      <c r="D137" s="7">
        <f t="shared" si="10"/>
        <v>9.845749917952085E-3</v>
      </c>
      <c r="E137" s="187"/>
      <c r="F137" s="195"/>
      <c r="G137" s="17"/>
      <c r="H137" s="8"/>
      <c r="I137" s="67"/>
      <c r="J137" s="89">
        <f t="shared" si="9"/>
        <v>0</v>
      </c>
    </row>
    <row r="138" spans="1:10" x14ac:dyDescent="0.25">
      <c r="A138" s="15" t="s">
        <v>240</v>
      </c>
      <c r="B138" s="6">
        <v>1256684.1000000001</v>
      </c>
      <c r="C138" s="6">
        <v>103445</v>
      </c>
      <c r="D138" s="7">
        <f t="shared" si="10"/>
        <v>8.2315834186172956E-2</v>
      </c>
      <c r="E138" s="186">
        <v>0.15</v>
      </c>
      <c r="F138" s="194">
        <f>IF(D138&lt;E138, E138*B138-C138, 0)</f>
        <v>85057.61500000002</v>
      </c>
      <c r="G138" s="17">
        <f>IF(F138&gt;SUM(H138:I138),F138-SUM(H138:I138),0)</f>
        <v>85057.61500000002</v>
      </c>
      <c r="H138" s="8"/>
      <c r="I138" s="67"/>
      <c r="J138" s="89">
        <f t="shared" ref="J138:J169" si="11">G138+H138+I138</f>
        <v>85057.61500000002</v>
      </c>
    </row>
    <row r="139" spans="1:10" x14ac:dyDescent="0.25">
      <c r="A139" s="15" t="s">
        <v>71</v>
      </c>
      <c r="B139" s="6">
        <v>325</v>
      </c>
      <c r="C139" s="6">
        <v>79</v>
      </c>
      <c r="D139" s="7">
        <f t="shared" si="10"/>
        <v>0.24307692307692308</v>
      </c>
      <c r="E139" s="186">
        <v>0.13</v>
      </c>
      <c r="F139" s="194">
        <f>IF(D139&lt;E139, E139*B139-C139, 0)</f>
        <v>0</v>
      </c>
      <c r="G139" s="17">
        <f>IF(F139&gt;SUM(H139:I139),F139-SUM(H139:I139),0)</f>
        <v>0</v>
      </c>
      <c r="H139" s="8"/>
      <c r="I139" s="67"/>
      <c r="J139" s="89">
        <f t="shared" si="11"/>
        <v>0</v>
      </c>
    </row>
    <row r="140" spans="1:10" x14ac:dyDescent="0.25">
      <c r="A140" s="15" t="s">
        <v>102</v>
      </c>
      <c r="B140" s="6">
        <v>281.89999999999998</v>
      </c>
      <c r="C140" s="6">
        <v>34</v>
      </c>
      <c r="D140" s="7">
        <f t="shared" si="10"/>
        <v>0.12061014544164599</v>
      </c>
      <c r="E140" s="187"/>
      <c r="F140" s="195"/>
      <c r="G140" s="95"/>
      <c r="H140" s="8"/>
      <c r="I140" s="67"/>
      <c r="J140" s="89">
        <f t="shared" si="11"/>
        <v>0</v>
      </c>
    </row>
    <row r="141" spans="1:10" x14ac:dyDescent="0.25">
      <c r="A141" s="15" t="s">
        <v>234</v>
      </c>
      <c r="B141" s="6">
        <v>1149.9000000000001</v>
      </c>
      <c r="C141" s="6">
        <v>748</v>
      </c>
      <c r="D141" s="7">
        <f t="shared" si="10"/>
        <v>0.65049134707365852</v>
      </c>
      <c r="E141" s="187"/>
      <c r="F141" s="195"/>
      <c r="G141" s="95"/>
      <c r="H141" s="8"/>
      <c r="I141" s="67"/>
      <c r="J141" s="89">
        <f t="shared" si="11"/>
        <v>0</v>
      </c>
    </row>
    <row r="142" spans="1:10" x14ac:dyDescent="0.25">
      <c r="A142" s="15" t="s">
        <v>141</v>
      </c>
      <c r="B142" s="6">
        <v>1046302.5</v>
      </c>
      <c r="C142" s="6">
        <v>6508</v>
      </c>
      <c r="D142" s="7">
        <f t="shared" si="10"/>
        <v>6.2199985185928544E-3</v>
      </c>
      <c r="E142" s="187"/>
      <c r="F142" s="195"/>
      <c r="G142" s="17"/>
      <c r="H142" s="9">
        <v>400</v>
      </c>
      <c r="I142" s="67"/>
      <c r="J142" s="89">
        <f t="shared" si="11"/>
        <v>400</v>
      </c>
    </row>
    <row r="143" spans="1:10" x14ac:dyDescent="0.25">
      <c r="A143" s="15" t="s">
        <v>79</v>
      </c>
      <c r="B143" s="6">
        <v>2062.5</v>
      </c>
      <c r="C143" s="6">
        <v>98</v>
      </c>
      <c r="D143" s="7">
        <f t="shared" si="10"/>
        <v>4.7515151515151517E-2</v>
      </c>
      <c r="E143" s="187">
        <v>0.16</v>
      </c>
      <c r="F143" s="195" t="s">
        <v>369</v>
      </c>
      <c r="G143" s="95">
        <v>0</v>
      </c>
      <c r="H143" s="9"/>
      <c r="I143" s="67">
        <f>'GEF projects'!B34</f>
        <v>2</v>
      </c>
      <c r="J143" s="89">
        <f t="shared" si="11"/>
        <v>2</v>
      </c>
    </row>
    <row r="144" spans="1:10" x14ac:dyDescent="0.25">
      <c r="A144" s="15" t="s">
        <v>178</v>
      </c>
      <c r="B144" s="6">
        <v>396.4</v>
      </c>
      <c r="C144" s="6">
        <v>47.59</v>
      </c>
      <c r="D144" s="7">
        <f t="shared" si="10"/>
        <v>0.12005549949545914</v>
      </c>
      <c r="E144" s="187"/>
      <c r="F144" s="195"/>
      <c r="G144" s="95"/>
      <c r="H144" s="8"/>
      <c r="I144" s="67"/>
      <c r="J144" s="89">
        <f t="shared" si="11"/>
        <v>0</v>
      </c>
    </row>
    <row r="145" spans="1:10" x14ac:dyDescent="0.25">
      <c r="A145" s="15" t="s">
        <v>5</v>
      </c>
      <c r="B145" s="6">
        <v>1965284.8</v>
      </c>
      <c r="C145" s="6">
        <v>293234.84000000003</v>
      </c>
      <c r="D145" s="7">
        <f t="shared" si="10"/>
        <v>0.14920730064161694</v>
      </c>
      <c r="E145" s="186">
        <v>0.17</v>
      </c>
      <c r="F145" s="194">
        <f>IF(D145&lt;E145, E145*B145-C145, 0)</f>
        <v>40863.576000000001</v>
      </c>
      <c r="G145" s="101">
        <f>IF(F145&gt;SUM(H145:I145),F145-SUM(H145:I145),0)</f>
        <v>2557.8571053889973</v>
      </c>
      <c r="H145" s="18">
        <f>0.014*B145+48318.03-51226.298305389</f>
        <v>24605.718894611004</v>
      </c>
      <c r="I145" s="84">
        <f>'GEF projects'!B35</f>
        <v>13700</v>
      </c>
      <c r="J145" s="89">
        <f t="shared" si="11"/>
        <v>40863.576000000001</v>
      </c>
    </row>
    <row r="146" spans="1:10" x14ac:dyDescent="0.25">
      <c r="A146" s="16" t="s">
        <v>118</v>
      </c>
      <c r="B146" s="6">
        <v>817.2</v>
      </c>
      <c r="C146" s="6">
        <v>35</v>
      </c>
      <c r="D146" s="7">
        <f t="shared" si="10"/>
        <v>4.2829172785119919E-2</v>
      </c>
      <c r="E146" s="187"/>
      <c r="F146" s="195"/>
      <c r="G146" s="95"/>
      <c r="H146" s="8"/>
      <c r="I146" s="84"/>
      <c r="J146" s="89">
        <f t="shared" si="11"/>
        <v>0</v>
      </c>
    </row>
    <row r="147" spans="1:10" x14ac:dyDescent="0.25">
      <c r="A147" s="15" t="s">
        <v>92</v>
      </c>
      <c r="B147" s="6">
        <v>1.6</v>
      </c>
      <c r="C147" s="6">
        <v>1</v>
      </c>
      <c r="D147" s="7">
        <f t="shared" si="10"/>
        <v>0.625</v>
      </c>
      <c r="E147" s="187"/>
      <c r="F147" s="195"/>
      <c r="G147" s="95"/>
      <c r="H147" s="8"/>
      <c r="I147" s="67"/>
      <c r="J147" s="89">
        <f t="shared" si="11"/>
        <v>0</v>
      </c>
    </row>
    <row r="148" spans="1:10" x14ac:dyDescent="0.25">
      <c r="A148" s="15" t="s">
        <v>205</v>
      </c>
      <c r="B148" s="6">
        <v>1565864.2</v>
      </c>
      <c r="C148" s="6">
        <v>272511</v>
      </c>
      <c r="D148" s="7">
        <f t="shared" si="10"/>
        <v>0.17403233307205057</v>
      </c>
      <c r="E148" s="187">
        <v>0.3</v>
      </c>
      <c r="F148" s="195" t="s">
        <v>369</v>
      </c>
      <c r="G148" s="95">
        <v>0</v>
      </c>
      <c r="H148" s="9">
        <f>0.25*B148-C148-I148</f>
        <v>104887.32999999999</v>
      </c>
      <c r="I148" s="84">
        <f>'GEF projects'!B36</f>
        <v>14067.720000000001</v>
      </c>
      <c r="J148" s="89">
        <f t="shared" si="11"/>
        <v>118955.04999999999</v>
      </c>
    </row>
    <row r="149" spans="1:10" x14ac:dyDescent="0.25">
      <c r="A149" s="15" t="s">
        <v>105</v>
      </c>
      <c r="B149" s="6">
        <v>13847.6</v>
      </c>
      <c r="C149" s="6">
        <v>562</v>
      </c>
      <c r="D149" s="7">
        <f t="shared" si="10"/>
        <v>4.0584650047661687E-2</v>
      </c>
      <c r="E149" s="186">
        <v>0.17</v>
      </c>
      <c r="F149" s="194">
        <f>IF(D149&lt;E149, E149*B149-C149, 0)</f>
        <v>1792.0920000000001</v>
      </c>
      <c r="G149" s="17">
        <f>IF(F149&gt;SUM(H149:I149),F149-SUM(H149:I149),0)</f>
        <v>0</v>
      </c>
      <c r="H149" s="9">
        <f>0.17*B149-C149</f>
        <v>1792.0920000000001</v>
      </c>
      <c r="I149" s="67"/>
      <c r="J149" s="89">
        <f t="shared" si="11"/>
        <v>1792.0920000000001</v>
      </c>
    </row>
    <row r="150" spans="1:10" x14ac:dyDescent="0.25">
      <c r="A150" s="15" t="s">
        <v>104</v>
      </c>
      <c r="B150" s="6">
        <v>100.7</v>
      </c>
      <c r="C150" s="6">
        <v>11</v>
      </c>
      <c r="D150" s="7">
        <f t="shared" si="10"/>
        <v>0.10923535253227408</v>
      </c>
      <c r="E150" s="187"/>
      <c r="F150" s="195"/>
      <c r="G150" s="95"/>
      <c r="H150" s="8"/>
      <c r="I150" s="67"/>
      <c r="J150" s="89">
        <f t="shared" si="11"/>
        <v>0</v>
      </c>
    </row>
    <row r="151" spans="1:10" x14ac:dyDescent="0.25">
      <c r="A151" s="15" t="s">
        <v>49</v>
      </c>
      <c r="B151" s="6">
        <v>407280.5</v>
      </c>
      <c r="C151" s="6">
        <v>125477</v>
      </c>
      <c r="D151" s="7">
        <f t="shared" si="10"/>
        <v>0.30808496846767769</v>
      </c>
      <c r="E151" s="186">
        <v>0.17</v>
      </c>
      <c r="F151" s="194">
        <f>IF(D151&lt;E151, E151*B151-C151, 0)</f>
        <v>0</v>
      </c>
      <c r="G151" s="17">
        <f>IF(F151&gt;SUM(H151:I151),F151-SUM(H151:I151),0)</f>
        <v>0</v>
      </c>
      <c r="H151" s="9">
        <f>25000</f>
        <v>25000</v>
      </c>
      <c r="I151" s="67"/>
      <c r="J151" s="89">
        <f t="shared" si="11"/>
        <v>25000</v>
      </c>
    </row>
    <row r="152" spans="1:10" x14ac:dyDescent="0.25">
      <c r="A152" s="15" t="s">
        <v>10</v>
      </c>
      <c r="B152" s="6">
        <v>791081.9</v>
      </c>
      <c r="C152" s="6">
        <v>170820</v>
      </c>
      <c r="D152" s="7">
        <f t="shared" si="10"/>
        <v>0.21593213041532108</v>
      </c>
      <c r="E152" s="187"/>
      <c r="F152" s="195"/>
      <c r="G152" s="17"/>
      <c r="H152" s="8"/>
      <c r="I152" s="67">
        <f>'GEF projects'!B37</f>
        <v>1310</v>
      </c>
      <c r="J152" s="89">
        <f t="shared" si="11"/>
        <v>1310</v>
      </c>
    </row>
    <row r="153" spans="1:10" x14ac:dyDescent="0.25">
      <c r="A153" s="15" t="s">
        <v>35</v>
      </c>
      <c r="B153" s="6">
        <v>673078.6</v>
      </c>
      <c r="C153" s="6">
        <v>48365.69</v>
      </c>
      <c r="D153" s="7">
        <f t="shared" si="10"/>
        <v>7.1857417543805438E-2</v>
      </c>
      <c r="E153" s="186">
        <v>0.08</v>
      </c>
      <c r="F153" s="194">
        <f>IF(D153&lt;E153, E153*B153-C153, 0)</f>
        <v>5480.5979999999981</v>
      </c>
      <c r="G153" s="17">
        <f>IF(F153&gt;SUM(H153:I153),F153-SUM(H153:I153),0)</f>
        <v>0</v>
      </c>
      <c r="H153" s="9">
        <v>4790.29</v>
      </c>
      <c r="I153" s="84">
        <f>'GEF projects'!B38</f>
        <v>32814.31</v>
      </c>
      <c r="J153" s="89">
        <f t="shared" si="11"/>
        <v>37604.6</v>
      </c>
    </row>
    <row r="154" spans="1:10" x14ac:dyDescent="0.25">
      <c r="A154" s="15" t="s">
        <v>57</v>
      </c>
      <c r="B154" s="6">
        <v>827465.4</v>
      </c>
      <c r="C154" s="6">
        <v>313534</v>
      </c>
      <c r="D154" s="7">
        <f t="shared" si="10"/>
        <v>0.37890889455921661</v>
      </c>
      <c r="E154" s="187"/>
      <c r="F154" s="195"/>
      <c r="G154" s="17"/>
      <c r="H154" s="8"/>
      <c r="I154" s="67"/>
      <c r="J154" s="89">
        <f t="shared" si="11"/>
        <v>0</v>
      </c>
    </row>
    <row r="155" spans="1:10" x14ac:dyDescent="0.25">
      <c r="A155" s="15" t="s">
        <v>165</v>
      </c>
      <c r="B155" s="5">
        <v>22.828882023599999</v>
      </c>
      <c r="D155" s="7"/>
      <c r="E155" s="187">
        <v>0.3</v>
      </c>
      <c r="F155" s="195" t="s">
        <v>369</v>
      </c>
      <c r="G155" s="95">
        <v>0</v>
      </c>
      <c r="H155" s="8"/>
      <c r="I155" s="67"/>
      <c r="J155" s="89">
        <f t="shared" si="11"/>
        <v>0</v>
      </c>
    </row>
    <row r="156" spans="1:10" x14ac:dyDescent="0.25">
      <c r="A156" s="15" t="s">
        <v>38</v>
      </c>
      <c r="B156" s="6">
        <v>147709.5</v>
      </c>
      <c r="C156" s="6">
        <v>34898</v>
      </c>
      <c r="D156" s="7">
        <f t="shared" ref="D156:D193" si="12">C156/B156</f>
        <v>0.23626103940504842</v>
      </c>
      <c r="E156" s="187"/>
      <c r="F156" s="195"/>
      <c r="G156" s="17"/>
      <c r="H156" s="8"/>
      <c r="I156" s="67"/>
      <c r="J156" s="89">
        <f t="shared" si="11"/>
        <v>0</v>
      </c>
    </row>
    <row r="157" spans="1:10" x14ac:dyDescent="0.25">
      <c r="A157" s="15" t="s">
        <v>221</v>
      </c>
      <c r="B157" s="6">
        <v>35205.599999999999</v>
      </c>
      <c r="C157" s="6">
        <v>3989.23</v>
      </c>
      <c r="D157" s="7">
        <f t="shared" si="12"/>
        <v>0.11331237075919741</v>
      </c>
      <c r="E157" s="187"/>
      <c r="F157" s="195"/>
      <c r="G157" s="17"/>
      <c r="H157" s="8"/>
      <c r="I157" s="67"/>
      <c r="J157" s="89">
        <f t="shared" si="11"/>
        <v>0</v>
      </c>
    </row>
    <row r="158" spans="1:10" x14ac:dyDescent="0.25">
      <c r="A158" s="15" t="s">
        <v>230</v>
      </c>
      <c r="B158" s="6">
        <v>19141</v>
      </c>
      <c r="C158" s="6">
        <v>10414</v>
      </c>
      <c r="D158" s="7">
        <f t="shared" si="12"/>
        <v>0.54406770806122984</v>
      </c>
      <c r="E158" s="187"/>
      <c r="F158" s="195"/>
      <c r="G158" s="95"/>
      <c r="H158" s="8"/>
      <c r="I158" s="67"/>
      <c r="J158" s="89">
        <f t="shared" si="11"/>
        <v>0</v>
      </c>
    </row>
    <row r="159" spans="1:10" x14ac:dyDescent="0.25">
      <c r="A159" s="15" t="s">
        <v>135</v>
      </c>
      <c r="B159" s="6">
        <v>269651.7</v>
      </c>
      <c r="C159" s="6">
        <v>87759</v>
      </c>
      <c r="D159" s="7">
        <f t="shared" si="12"/>
        <v>0.32545316791995005</v>
      </c>
      <c r="E159" s="187"/>
      <c r="F159" s="195"/>
      <c r="G159" s="17"/>
      <c r="H159" s="8"/>
      <c r="I159" s="67"/>
      <c r="J159" s="89">
        <f t="shared" si="11"/>
        <v>0</v>
      </c>
    </row>
    <row r="160" spans="1:10" x14ac:dyDescent="0.25">
      <c r="A160" s="15" t="s">
        <v>145</v>
      </c>
      <c r="B160" s="6">
        <v>129222.3</v>
      </c>
      <c r="C160" s="6">
        <v>48105</v>
      </c>
      <c r="D160" s="7">
        <f t="shared" si="12"/>
        <v>0.37226546811192807</v>
      </c>
      <c r="E160" s="187"/>
      <c r="F160" s="195"/>
      <c r="G160" s="17"/>
      <c r="H160" s="8"/>
      <c r="I160" s="67"/>
      <c r="J160" s="89">
        <f t="shared" si="11"/>
        <v>0</v>
      </c>
    </row>
    <row r="161" spans="1:10" x14ac:dyDescent="0.25">
      <c r="A161" s="15" t="s">
        <v>87</v>
      </c>
      <c r="B161" s="6">
        <v>1190098.7</v>
      </c>
      <c r="C161" s="6">
        <v>206091</v>
      </c>
      <c r="D161" s="7">
        <f t="shared" si="12"/>
        <v>0.1731713512501106</v>
      </c>
      <c r="E161" s="187"/>
      <c r="F161" s="195"/>
      <c r="G161" s="17"/>
      <c r="H161" s="8"/>
      <c r="I161" s="67"/>
      <c r="J161" s="89">
        <f t="shared" si="11"/>
        <v>0</v>
      </c>
    </row>
    <row r="162" spans="1:10" x14ac:dyDescent="0.25">
      <c r="A162" s="15" t="s">
        <v>171</v>
      </c>
      <c r="B162" s="6">
        <v>914306.1</v>
      </c>
      <c r="C162" s="6">
        <v>127359</v>
      </c>
      <c r="D162" s="7">
        <f t="shared" si="12"/>
        <v>0.1392958003889507</v>
      </c>
      <c r="E162" s="187"/>
      <c r="F162" s="195"/>
      <c r="G162" s="17"/>
      <c r="H162" s="155">
        <v>1932.33</v>
      </c>
      <c r="I162" s="67"/>
      <c r="J162" s="89">
        <f t="shared" si="11"/>
        <v>1932.33</v>
      </c>
    </row>
    <row r="163" spans="1:10" x14ac:dyDescent="0.25">
      <c r="A163" s="15" t="s">
        <v>106</v>
      </c>
      <c r="B163" s="6">
        <v>267.8</v>
      </c>
      <c r="C163" s="6">
        <v>26</v>
      </c>
      <c r="D163" s="7">
        <f t="shared" si="12"/>
        <v>9.7087378640776698E-2</v>
      </c>
      <c r="E163" s="189">
        <v>25.5</v>
      </c>
      <c r="F163" s="198">
        <v>25.5</v>
      </c>
      <c r="G163" s="17">
        <f>IF(F163&gt;SUM(H163:I163),F163-SUM(H163:I163),0)</f>
        <v>0</v>
      </c>
      <c r="H163" s="8"/>
      <c r="I163" s="91">
        <f>'GEF projects'!B39</f>
        <v>25.5</v>
      </c>
      <c r="J163" s="89">
        <f t="shared" si="11"/>
        <v>25.5</v>
      </c>
    </row>
    <row r="164" spans="1:10" x14ac:dyDescent="0.25">
      <c r="A164" s="15" t="s">
        <v>113</v>
      </c>
      <c r="B164" s="6">
        <v>42.8</v>
      </c>
      <c r="C164" s="6">
        <v>4</v>
      </c>
      <c r="D164" s="7">
        <f t="shared" si="12"/>
        <v>9.3457943925233655E-2</v>
      </c>
      <c r="E164" s="187"/>
      <c r="F164" s="195"/>
      <c r="G164" s="95"/>
      <c r="H164" s="8"/>
      <c r="I164" s="67"/>
      <c r="J164" s="89">
        <f t="shared" si="11"/>
        <v>0</v>
      </c>
    </row>
    <row r="165" spans="1:10" x14ac:dyDescent="0.25">
      <c r="A165" s="15" t="s">
        <v>180</v>
      </c>
      <c r="B165" s="6">
        <v>501.2</v>
      </c>
      <c r="C165" s="6">
        <v>38</v>
      </c>
      <c r="D165" s="7">
        <f t="shared" si="12"/>
        <v>7.5818036711891468E-2</v>
      </c>
      <c r="E165" s="187"/>
      <c r="F165" s="195"/>
      <c r="G165" s="95"/>
      <c r="H165" s="8"/>
      <c r="I165" s="67"/>
      <c r="J165" s="89">
        <f t="shared" si="11"/>
        <v>0</v>
      </c>
    </row>
    <row r="166" spans="1:10" x14ac:dyDescent="0.25">
      <c r="A166" s="15" t="s">
        <v>40</v>
      </c>
      <c r="B166" s="6">
        <v>325287.8</v>
      </c>
      <c r="C166" s="6">
        <v>55361.11</v>
      </c>
      <c r="D166" s="7">
        <f t="shared" si="12"/>
        <v>0.17019116609968157</v>
      </c>
      <c r="E166" s="187"/>
      <c r="F166" s="195"/>
      <c r="G166" s="17"/>
      <c r="H166" s="8"/>
      <c r="I166" s="67"/>
      <c r="J166" s="89">
        <f t="shared" si="11"/>
        <v>0</v>
      </c>
    </row>
    <row r="167" spans="1:10" x14ac:dyDescent="0.25">
      <c r="A167" s="15" t="s">
        <v>213</v>
      </c>
      <c r="B167" s="6">
        <v>310373.09999999998</v>
      </c>
      <c r="C167" s="6">
        <v>7985</v>
      </c>
      <c r="D167" s="7">
        <f t="shared" si="12"/>
        <v>2.5727100705570168E-2</v>
      </c>
      <c r="E167" s="187"/>
      <c r="F167" s="195"/>
      <c r="G167" s="95"/>
      <c r="H167" s="8"/>
      <c r="I167" s="67"/>
      <c r="J167" s="89">
        <f t="shared" si="11"/>
        <v>0</v>
      </c>
    </row>
    <row r="168" spans="1:10" x14ac:dyDescent="0.25">
      <c r="A168" s="15" t="s">
        <v>172</v>
      </c>
      <c r="B168" s="6">
        <v>798143.7</v>
      </c>
      <c r="C168" s="6">
        <v>98288</v>
      </c>
      <c r="D168" s="7">
        <f t="shared" si="12"/>
        <v>0.12314574430644508</v>
      </c>
      <c r="E168" s="187"/>
      <c r="F168" s="195"/>
      <c r="G168" s="95"/>
      <c r="H168" s="8"/>
      <c r="I168" s="67">
        <f>'GEF projects'!B41</f>
        <v>200</v>
      </c>
      <c r="J168" s="89">
        <f t="shared" si="11"/>
        <v>200</v>
      </c>
    </row>
    <row r="169" spans="1:10" x14ac:dyDescent="0.25">
      <c r="A169" s="15" t="s">
        <v>62</v>
      </c>
      <c r="B169" s="6">
        <v>501.1</v>
      </c>
      <c r="C169" s="6">
        <v>140</v>
      </c>
      <c r="D169" s="7">
        <f t="shared" si="12"/>
        <v>0.27938535222510474</v>
      </c>
      <c r="E169" s="187"/>
      <c r="F169" s="195"/>
      <c r="G169" s="95"/>
      <c r="H169" s="9">
        <v>63</v>
      </c>
      <c r="I169" s="84">
        <f>'GEF projects'!B40</f>
        <v>0</v>
      </c>
      <c r="J169" s="89">
        <f t="shared" si="11"/>
        <v>63</v>
      </c>
    </row>
    <row r="170" spans="1:10" x14ac:dyDescent="0.25">
      <c r="A170" s="15" t="s">
        <v>154</v>
      </c>
      <c r="B170" s="6">
        <v>75497.899999999994</v>
      </c>
      <c r="C170" s="6">
        <v>15773</v>
      </c>
      <c r="D170" s="7">
        <f t="shared" si="12"/>
        <v>0.20891971829680031</v>
      </c>
      <c r="E170" s="187"/>
      <c r="F170" s="195"/>
      <c r="G170" s="95"/>
      <c r="H170" s="8"/>
      <c r="I170" s="67"/>
      <c r="J170" s="89">
        <f t="shared" ref="J170:J187" si="13">G170+H170+I170</f>
        <v>0</v>
      </c>
    </row>
    <row r="171" spans="1:10" x14ac:dyDescent="0.25">
      <c r="A171" s="15" t="s">
        <v>204</v>
      </c>
      <c r="B171" s="6">
        <v>467405.9</v>
      </c>
      <c r="C171" s="6">
        <v>14330</v>
      </c>
      <c r="D171" s="7">
        <f t="shared" si="12"/>
        <v>3.0658577480515328E-2</v>
      </c>
      <c r="E171" s="187"/>
      <c r="F171" s="195"/>
      <c r="G171" s="95"/>
      <c r="H171" s="8"/>
      <c r="I171" s="84">
        <f>'GEF projects'!B42</f>
        <v>2550</v>
      </c>
      <c r="J171" s="89">
        <f t="shared" si="13"/>
        <v>2550</v>
      </c>
    </row>
    <row r="172" spans="1:10" x14ac:dyDescent="0.25">
      <c r="A172" s="15" t="s">
        <v>185</v>
      </c>
      <c r="B172" s="6">
        <v>401498.4</v>
      </c>
      <c r="C172" s="6">
        <v>26139</v>
      </c>
      <c r="D172" s="7">
        <f t="shared" si="12"/>
        <v>6.5103621832615019E-2</v>
      </c>
      <c r="E172" s="186">
        <v>0.17</v>
      </c>
      <c r="F172" s="194">
        <f>IF(D172&lt;E172, E172*B172-C172, 0)</f>
        <v>42115.728000000003</v>
      </c>
      <c r="G172" s="17">
        <f>IF(F172&gt;SUM(H172:I172),F172-SUM(H172:I172),0)</f>
        <v>42115.728000000003</v>
      </c>
      <c r="H172" s="8"/>
      <c r="I172" s="67"/>
      <c r="J172" s="89">
        <f t="shared" si="13"/>
        <v>42115.728000000003</v>
      </c>
    </row>
    <row r="173" spans="1:10" x14ac:dyDescent="0.25">
      <c r="A173" s="15" t="s">
        <v>253</v>
      </c>
      <c r="B173" s="6">
        <v>1298537</v>
      </c>
      <c r="C173" s="6">
        <v>276192</v>
      </c>
      <c r="D173" s="7">
        <f t="shared" si="12"/>
        <v>0.21269474801257107</v>
      </c>
      <c r="E173" s="186">
        <v>0.17</v>
      </c>
      <c r="F173" s="195" t="s">
        <v>394</v>
      </c>
      <c r="G173" s="95">
        <v>0</v>
      </c>
      <c r="H173" s="11"/>
      <c r="I173" s="84">
        <f>'GEF projects'!B43</f>
        <v>1210</v>
      </c>
      <c r="J173" s="89">
        <f t="shared" si="13"/>
        <v>1210</v>
      </c>
    </row>
    <row r="174" spans="1:10" x14ac:dyDescent="0.25">
      <c r="A174" s="15" t="s">
        <v>56</v>
      </c>
      <c r="B174" s="6">
        <v>298774.90000000002</v>
      </c>
      <c r="C174" s="6">
        <v>45762</v>
      </c>
      <c r="D174" s="7">
        <f t="shared" si="12"/>
        <v>0.15316547675189582</v>
      </c>
      <c r="E174" s="187"/>
      <c r="F174" s="195"/>
      <c r="G174" s="17"/>
      <c r="H174" s="18">
        <v>4000</v>
      </c>
      <c r="I174" s="84"/>
      <c r="J174" s="89">
        <f t="shared" si="13"/>
        <v>4000</v>
      </c>
    </row>
    <row r="175" spans="1:10" x14ac:dyDescent="0.25">
      <c r="A175" s="15" t="s">
        <v>69</v>
      </c>
      <c r="B175" s="6">
        <v>45.6</v>
      </c>
      <c r="C175" s="6">
        <v>43</v>
      </c>
      <c r="D175" s="7">
        <f t="shared" si="12"/>
        <v>0.94298245614035081</v>
      </c>
      <c r="E175" s="187"/>
      <c r="F175" s="195"/>
      <c r="G175" s="95"/>
      <c r="H175" s="8"/>
      <c r="I175" s="67"/>
      <c r="J175" s="89">
        <f t="shared" si="13"/>
        <v>0</v>
      </c>
    </row>
    <row r="176" spans="1:10" x14ac:dyDescent="0.25">
      <c r="A176" s="15" t="s">
        <v>233</v>
      </c>
      <c r="B176" s="6">
        <v>311923.5</v>
      </c>
      <c r="C176" s="6">
        <v>123528.98</v>
      </c>
      <c r="D176" s="7">
        <f t="shared" si="12"/>
        <v>0.39602331982040467</v>
      </c>
      <c r="E176" s="187"/>
      <c r="F176" s="195"/>
      <c r="G176" s="17"/>
      <c r="H176" s="8"/>
      <c r="I176" s="67"/>
      <c r="J176" s="89">
        <f t="shared" si="13"/>
        <v>0</v>
      </c>
    </row>
    <row r="177" spans="1:10" x14ac:dyDescent="0.25">
      <c r="A177" s="15" t="s">
        <v>232</v>
      </c>
      <c r="B177" s="6">
        <v>92141.1</v>
      </c>
      <c r="C177" s="6">
        <v>21101.4</v>
      </c>
      <c r="D177" s="7">
        <f t="shared" si="12"/>
        <v>0.22901180906240537</v>
      </c>
      <c r="E177" s="187"/>
      <c r="F177" s="195"/>
      <c r="G177" s="95"/>
      <c r="H177" s="8"/>
      <c r="I177" s="67"/>
      <c r="J177" s="89">
        <f t="shared" si="13"/>
        <v>0</v>
      </c>
    </row>
    <row r="178" spans="1:10" x14ac:dyDescent="0.25">
      <c r="A178" s="15" t="s">
        <v>133</v>
      </c>
      <c r="B178" s="6">
        <v>9041.1</v>
      </c>
      <c r="C178" s="6">
        <v>673</v>
      </c>
      <c r="D178" s="7">
        <f t="shared" si="12"/>
        <v>7.4437844952494711E-2</v>
      </c>
      <c r="E178" s="187"/>
      <c r="F178" s="195"/>
      <c r="G178" s="95"/>
      <c r="H178" s="8"/>
      <c r="I178" s="67"/>
      <c r="J178" s="89">
        <f t="shared" si="13"/>
        <v>0</v>
      </c>
    </row>
    <row r="179" spans="1:10" x14ac:dyDescent="0.25">
      <c r="A179" s="15" t="s">
        <v>173</v>
      </c>
      <c r="B179" s="6">
        <v>11435.6</v>
      </c>
      <c r="C179" s="6">
        <v>280</v>
      </c>
      <c r="D179" s="7">
        <f t="shared" si="12"/>
        <v>2.4484941760817096E-2</v>
      </c>
      <c r="E179" s="187"/>
      <c r="F179" s="195"/>
      <c r="G179" s="17"/>
      <c r="H179" s="8"/>
      <c r="I179" s="67"/>
      <c r="J179" s="89">
        <f t="shared" si="13"/>
        <v>0</v>
      </c>
    </row>
    <row r="180" spans="1:10" x14ac:dyDescent="0.25">
      <c r="A180" s="15" t="s">
        <v>18</v>
      </c>
      <c r="B180" s="6">
        <v>99712.9</v>
      </c>
      <c r="C180" s="6">
        <v>11202</v>
      </c>
      <c r="D180" s="7">
        <f t="shared" si="12"/>
        <v>0.1123425354191885</v>
      </c>
      <c r="E180" s="186">
        <v>0.17</v>
      </c>
      <c r="F180" s="194">
        <f>IF(D180&lt;E180, E180*B180-C180, 0)</f>
        <v>5749.1929999999993</v>
      </c>
      <c r="G180" s="17">
        <f>IF(F180&gt;SUM(H180:I180),F180-SUM(H180:I180),0)</f>
        <v>5567.1929999999993</v>
      </c>
      <c r="H180" s="156">
        <f>1500-1318</f>
        <v>182</v>
      </c>
      <c r="I180" s="67"/>
      <c r="J180" s="89">
        <f t="shared" si="13"/>
        <v>5749.1929999999993</v>
      </c>
    </row>
    <row r="181" spans="1:10" x14ac:dyDescent="0.25">
      <c r="A181" s="15" t="s">
        <v>112</v>
      </c>
      <c r="B181" s="6">
        <v>33963.800000000003</v>
      </c>
      <c r="C181" s="6">
        <v>1410</v>
      </c>
      <c r="D181" s="7">
        <f t="shared" si="12"/>
        <v>4.1514789275640535E-2</v>
      </c>
      <c r="E181" s="186">
        <v>0.08</v>
      </c>
      <c r="F181" s="194">
        <f>IF(D181&lt;E181, E181*B181-C181, 0)</f>
        <v>1307.1040000000003</v>
      </c>
      <c r="G181" s="17">
        <f>IF(F181&gt;SUM(H181:I181),F181-SUM(H181:I181),0)</f>
        <v>0</v>
      </c>
      <c r="H181" s="9">
        <f>0.08*B181-C181</f>
        <v>1307.1040000000003</v>
      </c>
      <c r="I181" s="67"/>
      <c r="J181" s="89">
        <f t="shared" si="13"/>
        <v>1307.1040000000003</v>
      </c>
    </row>
    <row r="182" spans="1:10" x14ac:dyDescent="0.25">
      <c r="A182" s="15" t="s">
        <v>83</v>
      </c>
      <c r="B182" s="6">
        <v>2536.3000000000002</v>
      </c>
      <c r="C182" s="6">
        <v>1936</v>
      </c>
      <c r="D182" s="7">
        <f t="shared" si="12"/>
        <v>0.76331664235303387</v>
      </c>
      <c r="E182" s="187"/>
      <c r="F182" s="195"/>
      <c r="G182" s="95"/>
      <c r="H182" s="8"/>
      <c r="I182" s="67"/>
      <c r="J182" s="89">
        <f t="shared" si="13"/>
        <v>0</v>
      </c>
    </row>
    <row r="183" spans="1:10" x14ac:dyDescent="0.25">
      <c r="A183" s="15" t="s">
        <v>39</v>
      </c>
      <c r="B183" s="6">
        <v>237452.9</v>
      </c>
      <c r="C183" s="6">
        <v>58085.45</v>
      </c>
      <c r="D183" s="7">
        <f t="shared" si="12"/>
        <v>0.24461882756538245</v>
      </c>
      <c r="E183" s="187"/>
      <c r="F183" s="195"/>
      <c r="G183" s="17"/>
      <c r="H183" s="8"/>
      <c r="I183" s="67"/>
      <c r="J183" s="89">
        <f t="shared" si="13"/>
        <v>0</v>
      </c>
    </row>
    <row r="184" spans="1:10" x14ac:dyDescent="0.25">
      <c r="A184" s="15" t="s">
        <v>52</v>
      </c>
      <c r="B184" s="6">
        <v>16874835.5</v>
      </c>
      <c r="C184" s="6">
        <v>1640156</v>
      </c>
      <c r="D184" s="7">
        <f t="shared" si="12"/>
        <v>9.7195377104564953E-2</v>
      </c>
      <c r="E184" s="190">
        <v>0.17</v>
      </c>
      <c r="F184" s="194">
        <f>IF(D184&lt;E184, E184*B184-C184, 0)</f>
        <v>1228566.0350000001</v>
      </c>
      <c r="G184" s="17">
        <f>IF(F184&gt;SUM(H184:I184),F184-SUM(H184:I184),0)</f>
        <v>1228566.0350000001</v>
      </c>
      <c r="H184" s="8"/>
      <c r="I184" s="67"/>
      <c r="J184" s="89">
        <f t="shared" si="13"/>
        <v>1228566.0350000001</v>
      </c>
    </row>
    <row r="185" spans="1:10" x14ac:dyDescent="0.25">
      <c r="A185" s="15" t="s">
        <v>45</v>
      </c>
      <c r="B185" s="6">
        <v>25452.1</v>
      </c>
      <c r="C185" s="6">
        <v>2320</v>
      </c>
      <c r="D185" s="7">
        <f t="shared" si="12"/>
        <v>9.1151614208650769E-2</v>
      </c>
      <c r="E185" s="186">
        <v>0.10299999999999999</v>
      </c>
      <c r="F185" s="194">
        <f>IF(D185&lt;E185, E185*B185-C185, 0)</f>
        <v>301.5662999999995</v>
      </c>
      <c r="G185" s="17">
        <f>IF(F185&gt;SUM(H185:I185),F185-SUM(H185:I185),0)</f>
        <v>301.5662999999995</v>
      </c>
      <c r="H185" s="8"/>
      <c r="I185" s="67"/>
      <c r="J185" s="89">
        <f t="shared" si="13"/>
        <v>301.5662999999995</v>
      </c>
    </row>
    <row r="186" spans="1:10" x14ac:dyDescent="0.25">
      <c r="A186" s="15" t="s">
        <v>89</v>
      </c>
      <c r="B186" s="6">
        <v>25.1</v>
      </c>
      <c r="C186" s="6">
        <v>9</v>
      </c>
      <c r="D186" s="7">
        <f t="shared" si="12"/>
        <v>0.35856573705179279</v>
      </c>
      <c r="E186" s="187"/>
      <c r="F186" s="195"/>
      <c r="G186" s="95"/>
      <c r="H186" s="8"/>
      <c r="I186" s="67"/>
      <c r="J186" s="89">
        <f t="shared" si="13"/>
        <v>0</v>
      </c>
    </row>
    <row r="187" spans="1:10" x14ac:dyDescent="0.25">
      <c r="A187" s="15" t="s">
        <v>68</v>
      </c>
      <c r="B187" s="6">
        <v>434.3</v>
      </c>
      <c r="C187" s="6">
        <v>157</v>
      </c>
      <c r="D187" s="7">
        <f t="shared" si="12"/>
        <v>0.36150126640571034</v>
      </c>
      <c r="E187" s="187"/>
      <c r="F187" s="195"/>
      <c r="G187" s="95"/>
      <c r="H187" s="8"/>
      <c r="I187" s="67"/>
      <c r="J187" s="89">
        <f t="shared" si="13"/>
        <v>0</v>
      </c>
    </row>
    <row r="188" spans="1:10" x14ac:dyDescent="0.25">
      <c r="A188" s="15" t="s">
        <v>155</v>
      </c>
      <c r="B188" s="6">
        <v>270.8</v>
      </c>
      <c r="C188" s="6">
        <v>9</v>
      </c>
      <c r="D188" s="7">
        <f t="shared" si="12"/>
        <v>3.3234859675036928E-2</v>
      </c>
      <c r="E188" s="187"/>
      <c r="F188" s="195"/>
      <c r="G188" s="17"/>
      <c r="H188" s="9">
        <v>39.4</v>
      </c>
      <c r="I188" s="157">
        <v>0</v>
      </c>
      <c r="J188" s="89">
        <f>G188+I188+H188</f>
        <v>39.4</v>
      </c>
    </row>
    <row r="189" spans="1:10" x14ac:dyDescent="0.25">
      <c r="A189" s="15" t="s">
        <v>110</v>
      </c>
      <c r="B189" s="6">
        <v>622.29999999999995</v>
      </c>
      <c r="C189" s="6">
        <v>117</v>
      </c>
      <c r="D189" s="7">
        <f t="shared" si="12"/>
        <v>0.18801221275911942</v>
      </c>
      <c r="E189" s="187"/>
      <c r="F189" s="195"/>
      <c r="G189" s="95"/>
      <c r="H189" s="8"/>
      <c r="I189" s="67">
        <f>'GEF projects'!B45</f>
        <v>40</v>
      </c>
      <c r="J189" s="89">
        <f t="shared" ref="J189:J220" si="14">G189+H189+I189</f>
        <v>40</v>
      </c>
    </row>
    <row r="190" spans="1:10" x14ac:dyDescent="0.25">
      <c r="A190" s="15" t="s">
        <v>219</v>
      </c>
      <c r="B190" s="6">
        <v>59.6</v>
      </c>
      <c r="C190" s="6">
        <v>5.42</v>
      </c>
      <c r="D190" s="7">
        <f t="shared" si="12"/>
        <v>9.0939597315436244E-2</v>
      </c>
      <c r="E190" s="187"/>
      <c r="F190" s="195"/>
      <c r="G190" s="95"/>
      <c r="H190" s="8"/>
      <c r="I190" s="67"/>
      <c r="J190" s="89">
        <f t="shared" si="14"/>
        <v>0</v>
      </c>
    </row>
    <row r="191" spans="1:10" x14ac:dyDescent="0.25">
      <c r="A191" s="15" t="s">
        <v>184</v>
      </c>
      <c r="B191" s="6">
        <v>237.6</v>
      </c>
      <c r="C191" s="6">
        <v>7</v>
      </c>
      <c r="D191" s="7">
        <f t="shared" si="12"/>
        <v>2.9461279461279462E-2</v>
      </c>
      <c r="E191" s="187"/>
      <c r="F191" s="195"/>
      <c r="G191" s="95"/>
      <c r="H191" s="8"/>
      <c r="I191" s="67"/>
      <c r="J191" s="89">
        <f t="shared" si="14"/>
        <v>0</v>
      </c>
    </row>
    <row r="192" spans="1:10" ht="30" x14ac:dyDescent="0.25">
      <c r="A192" s="15" t="s">
        <v>160</v>
      </c>
      <c r="B192" s="6">
        <v>409.9</v>
      </c>
      <c r="C192" s="6">
        <v>91.9</v>
      </c>
      <c r="D192" s="7">
        <f t="shared" si="12"/>
        <v>0.22420102464015615</v>
      </c>
      <c r="E192" s="187"/>
      <c r="F192" s="195"/>
      <c r="G192" s="95"/>
      <c r="H192" s="8"/>
      <c r="I192" s="67">
        <f>'GEF projects'!B46</f>
        <v>122</v>
      </c>
      <c r="J192" s="89">
        <f t="shared" si="14"/>
        <v>122</v>
      </c>
    </row>
    <row r="193" spans="1:10" x14ac:dyDescent="0.25">
      <c r="A193" s="15" t="s">
        <v>138</v>
      </c>
      <c r="B193" s="6">
        <v>2893.9</v>
      </c>
      <c r="C193" s="6">
        <v>196</v>
      </c>
      <c r="D193" s="7">
        <f t="shared" si="12"/>
        <v>6.7728670652061229E-2</v>
      </c>
      <c r="E193" s="186">
        <v>0.17</v>
      </c>
      <c r="F193" s="194">
        <f>IF(D193&lt;E193, E193*B193-C193, 0)</f>
        <v>295.96300000000008</v>
      </c>
      <c r="G193" s="17">
        <f>IF(F193&gt;SUM(H193:I193),F193-SUM(H193:I193),0)</f>
        <v>295.96300000000008</v>
      </c>
      <c r="H193" s="8"/>
      <c r="I193" s="67"/>
      <c r="J193" s="89">
        <f t="shared" si="14"/>
        <v>295.96300000000008</v>
      </c>
    </row>
    <row r="194" spans="1:10" x14ac:dyDescent="0.25">
      <c r="A194" s="15" t="s">
        <v>166</v>
      </c>
      <c r="D194" s="7"/>
      <c r="E194" s="187"/>
      <c r="F194" s="195"/>
      <c r="G194" s="95"/>
      <c r="H194" s="8"/>
      <c r="I194" s="67"/>
      <c r="J194" s="89">
        <f t="shared" si="14"/>
        <v>0</v>
      </c>
    </row>
    <row r="195" spans="1:10" x14ac:dyDescent="0.25">
      <c r="A195" s="15" t="s">
        <v>209</v>
      </c>
      <c r="B195" s="6">
        <v>989.3</v>
      </c>
      <c r="C195" s="6">
        <v>289</v>
      </c>
      <c r="D195" s="7">
        <f t="shared" ref="D195:D207" si="15">C195/B195</f>
        <v>0.29212574547659964</v>
      </c>
      <c r="E195" s="187"/>
      <c r="F195" s="195"/>
      <c r="G195" s="17"/>
      <c r="H195" s="8"/>
      <c r="I195" s="67"/>
      <c r="J195" s="89">
        <f t="shared" si="14"/>
        <v>0</v>
      </c>
    </row>
    <row r="196" spans="1:10" x14ac:dyDescent="0.25">
      <c r="A196" s="15" t="s">
        <v>198</v>
      </c>
      <c r="B196" s="6">
        <v>1934058.3</v>
      </c>
      <c r="C196" s="6">
        <v>83694</v>
      </c>
      <c r="D196" s="7">
        <f t="shared" si="15"/>
        <v>4.3273773081194088E-2</v>
      </c>
      <c r="E196" s="187"/>
      <c r="F196" s="195"/>
      <c r="G196" s="95"/>
      <c r="H196" s="155">
        <v>110939.5</v>
      </c>
      <c r="I196" s="67"/>
      <c r="J196" s="89">
        <f t="shared" si="14"/>
        <v>110939.5</v>
      </c>
    </row>
    <row r="197" spans="1:10" x14ac:dyDescent="0.25">
      <c r="A197" s="15" t="s">
        <v>72</v>
      </c>
      <c r="B197" s="6">
        <v>197924</v>
      </c>
      <c r="C197" s="6">
        <v>49888</v>
      </c>
      <c r="D197" s="7">
        <f t="shared" si="15"/>
        <v>0.25205634485964312</v>
      </c>
      <c r="E197" s="187"/>
      <c r="F197" s="195"/>
      <c r="G197" s="17"/>
      <c r="H197" s="8"/>
      <c r="I197" s="67"/>
      <c r="J197" s="89">
        <f t="shared" si="14"/>
        <v>0</v>
      </c>
    </row>
    <row r="198" spans="1:10" x14ac:dyDescent="0.25">
      <c r="A198" s="15" t="s">
        <v>63</v>
      </c>
      <c r="B198" s="6">
        <v>88509.1</v>
      </c>
      <c r="C198" s="6">
        <v>5456.9</v>
      </c>
      <c r="D198" s="7">
        <f t="shared" si="15"/>
        <v>6.1653547488337346E-2</v>
      </c>
      <c r="E198" s="187"/>
      <c r="F198" s="195"/>
      <c r="G198" s="17"/>
      <c r="H198" s="8"/>
      <c r="I198" s="67"/>
      <c r="J198" s="89">
        <f t="shared" si="14"/>
        <v>0</v>
      </c>
    </row>
    <row r="199" spans="1:10" x14ac:dyDescent="0.25">
      <c r="A199" s="15" t="s">
        <v>146</v>
      </c>
      <c r="B199" s="6">
        <v>486.9</v>
      </c>
      <c r="C199" s="6">
        <v>205</v>
      </c>
      <c r="D199" s="7">
        <f t="shared" si="15"/>
        <v>0.42103101252823988</v>
      </c>
      <c r="E199" s="186">
        <v>0.5</v>
      </c>
      <c r="F199" s="194">
        <f>IF(D199&lt;E199, E199*B199-C199, 0)</f>
        <v>38.449999999999989</v>
      </c>
      <c r="G199" s="17">
        <f>IF(F199&gt;SUM(H199:I199),F199-SUM(H199:I199),0)</f>
        <v>38.449999999999989</v>
      </c>
      <c r="H199" s="8"/>
      <c r="I199" s="84"/>
      <c r="J199" s="89">
        <f t="shared" si="14"/>
        <v>38.449999999999989</v>
      </c>
    </row>
    <row r="200" spans="1:10" x14ac:dyDescent="0.25">
      <c r="A200" s="15" t="s">
        <v>119</v>
      </c>
      <c r="B200" s="6">
        <v>72709</v>
      </c>
      <c r="C200" s="6">
        <v>6825</v>
      </c>
      <c r="D200" s="7">
        <f t="shared" si="15"/>
        <v>9.3867334167709635E-2</v>
      </c>
      <c r="E200" s="187"/>
      <c r="F200" s="195"/>
      <c r="G200" s="95"/>
      <c r="H200" s="8"/>
      <c r="I200" s="67"/>
      <c r="J200" s="89">
        <f t="shared" si="14"/>
        <v>0</v>
      </c>
    </row>
    <row r="201" spans="1:10" x14ac:dyDescent="0.25">
      <c r="A201" s="15" t="s">
        <v>99</v>
      </c>
      <c r="B201" s="6">
        <v>604.6</v>
      </c>
      <c r="C201" s="6">
        <v>34</v>
      </c>
      <c r="D201" s="7">
        <f t="shared" si="15"/>
        <v>5.6235527621567978E-2</v>
      </c>
      <c r="E201" s="187"/>
      <c r="F201" s="195"/>
      <c r="G201" s="95"/>
      <c r="H201" s="8"/>
      <c r="I201" s="67"/>
      <c r="J201" s="89">
        <f t="shared" si="14"/>
        <v>0</v>
      </c>
    </row>
    <row r="202" spans="1:10" x14ac:dyDescent="0.25">
      <c r="A202" s="15" t="s">
        <v>168</v>
      </c>
      <c r="B202" s="6">
        <v>36.5</v>
      </c>
      <c r="C202" s="6">
        <v>0</v>
      </c>
      <c r="D202" s="7">
        <f t="shared" si="15"/>
        <v>0</v>
      </c>
      <c r="E202" s="187"/>
      <c r="F202" s="195"/>
      <c r="G202" s="95"/>
      <c r="H202" s="8"/>
      <c r="I202" s="67"/>
      <c r="J202" s="89">
        <f t="shared" si="14"/>
        <v>0</v>
      </c>
    </row>
    <row r="203" spans="1:10" x14ac:dyDescent="0.25">
      <c r="A203" s="15" t="s">
        <v>215</v>
      </c>
      <c r="B203" s="6">
        <v>48941.2</v>
      </c>
      <c r="C203" s="6">
        <v>18245.02</v>
      </c>
      <c r="D203" s="7">
        <f t="shared" si="15"/>
        <v>0.37279470057947089</v>
      </c>
      <c r="E203" s="187"/>
      <c r="F203" s="195"/>
      <c r="G203" s="17"/>
      <c r="H203" s="9">
        <f>0.0036*B203</f>
        <v>176.18831999999998</v>
      </c>
      <c r="I203" s="67"/>
      <c r="J203" s="89">
        <f t="shared" si="14"/>
        <v>176.18831999999998</v>
      </c>
    </row>
    <row r="204" spans="1:10" x14ac:dyDescent="0.25">
      <c r="A204" s="15" t="s">
        <v>182</v>
      </c>
      <c r="B204" s="6">
        <v>20308.5</v>
      </c>
      <c r="C204" s="6">
        <v>10894.07</v>
      </c>
      <c r="D204" s="7">
        <f t="shared" si="15"/>
        <v>0.53642908141911017</v>
      </c>
      <c r="E204" s="187"/>
      <c r="F204" s="195"/>
      <c r="G204" s="95"/>
      <c r="H204" s="8"/>
      <c r="I204" s="67"/>
      <c r="J204" s="89">
        <f t="shared" si="14"/>
        <v>0</v>
      </c>
    </row>
    <row r="205" spans="1:10" x14ac:dyDescent="0.25">
      <c r="A205" s="15" t="s">
        <v>192</v>
      </c>
      <c r="B205" s="6">
        <v>29191.599999999999</v>
      </c>
      <c r="C205" s="6">
        <v>645</v>
      </c>
      <c r="D205" s="7">
        <f t="shared" si="15"/>
        <v>2.2095397306074353E-2</v>
      </c>
      <c r="E205" s="186">
        <v>0.1</v>
      </c>
      <c r="F205" s="194">
        <f>IF(D205&lt;E205, E205*B205-C205, 0)</f>
        <v>2274.16</v>
      </c>
      <c r="G205" s="17">
        <f>IF(F205&gt;SUM(H205:I205),F205-SUM(H205:I205),0)</f>
        <v>1274.1599999999999</v>
      </c>
      <c r="H205" s="9">
        <v>1000</v>
      </c>
      <c r="I205" s="84">
        <f>'GEF projects'!B47</f>
        <v>0</v>
      </c>
      <c r="J205" s="89">
        <f t="shared" si="14"/>
        <v>2274.16</v>
      </c>
    </row>
    <row r="206" spans="1:10" x14ac:dyDescent="0.25">
      <c r="A206" s="15" t="s">
        <v>93</v>
      </c>
      <c r="B206" s="6">
        <v>637991.6</v>
      </c>
      <c r="C206" s="6">
        <v>5278</v>
      </c>
      <c r="D206" s="7">
        <f t="shared" si="15"/>
        <v>8.2728361940815533E-3</v>
      </c>
      <c r="E206" s="187">
        <v>0.17</v>
      </c>
      <c r="F206" s="195" t="s">
        <v>398</v>
      </c>
      <c r="G206" s="95">
        <v>0</v>
      </c>
      <c r="H206" s="8"/>
      <c r="I206" s="67"/>
      <c r="J206" s="89">
        <f t="shared" si="14"/>
        <v>0</v>
      </c>
    </row>
    <row r="207" spans="1:10" x14ac:dyDescent="0.25">
      <c r="A207" s="15" t="s">
        <v>7</v>
      </c>
      <c r="B207" s="6">
        <v>1224384.6000000001</v>
      </c>
      <c r="C207" s="6">
        <v>172793.05</v>
      </c>
      <c r="D207" s="7">
        <f t="shared" si="15"/>
        <v>0.14112644833984353</v>
      </c>
      <c r="E207" s="187">
        <v>0.13200000000000001</v>
      </c>
      <c r="F207" s="194">
        <f>IF(D207&lt;E207, E207*B207-C207, 0)</f>
        <v>0</v>
      </c>
      <c r="G207" s="17">
        <f>IF(F207&gt;SUM(H207:I207),F207-SUM(H207:I207),0)</f>
        <v>0</v>
      </c>
      <c r="H207" s="11"/>
      <c r="I207" s="84">
        <f>'GEF projects'!B48</f>
        <v>1570</v>
      </c>
      <c r="J207" s="89">
        <f t="shared" si="14"/>
        <v>1570</v>
      </c>
    </row>
    <row r="208" spans="1:10" ht="30" x14ac:dyDescent="0.25">
      <c r="A208" s="15" t="s">
        <v>117</v>
      </c>
      <c r="B208" s="6">
        <v>3971.7</v>
      </c>
      <c r="C208" s="6">
        <v>3972</v>
      </c>
      <c r="D208" s="7">
        <v>1</v>
      </c>
      <c r="E208" s="187"/>
      <c r="F208" s="195"/>
      <c r="G208" s="95"/>
      <c r="H208" s="8"/>
      <c r="I208" s="67"/>
      <c r="J208" s="89">
        <f t="shared" si="14"/>
        <v>0</v>
      </c>
    </row>
    <row r="209" spans="1:10" x14ac:dyDescent="0.25">
      <c r="A209" s="15" t="s">
        <v>88</v>
      </c>
      <c r="B209" s="6">
        <v>633580.5</v>
      </c>
      <c r="C209" s="6">
        <v>98215</v>
      </c>
      <c r="D209" s="7">
        <f t="shared" ref="D209:D238" si="16">C209/B209</f>
        <v>0.15501581882649482</v>
      </c>
      <c r="E209" s="187"/>
      <c r="F209" s="195"/>
      <c r="G209" s="95"/>
      <c r="H209" s="8"/>
      <c r="I209" s="67"/>
      <c r="J209" s="89">
        <f t="shared" si="14"/>
        <v>0</v>
      </c>
    </row>
    <row r="210" spans="1:10" x14ac:dyDescent="0.25">
      <c r="A210" s="15" t="s">
        <v>34</v>
      </c>
      <c r="B210" s="6">
        <v>507013.4</v>
      </c>
      <c r="C210" s="6">
        <v>142140.92000000001</v>
      </c>
      <c r="D210" s="7">
        <f t="shared" si="16"/>
        <v>0.28034943455143396</v>
      </c>
      <c r="E210" s="187"/>
      <c r="F210" s="195"/>
      <c r="G210" s="17"/>
      <c r="H210" s="8"/>
      <c r="I210" s="67"/>
      <c r="J210" s="89">
        <f t="shared" si="14"/>
        <v>0</v>
      </c>
    </row>
    <row r="211" spans="1:10" x14ac:dyDescent="0.25">
      <c r="A211" s="15" t="s">
        <v>90</v>
      </c>
      <c r="B211" s="6">
        <v>66631.5</v>
      </c>
      <c r="C211" s="6">
        <v>19898</v>
      </c>
      <c r="D211" s="7">
        <f t="shared" si="16"/>
        <v>0.29862752601997555</v>
      </c>
      <c r="E211" s="187"/>
      <c r="F211" s="195"/>
      <c r="G211" s="17"/>
      <c r="H211" s="8"/>
      <c r="I211" s="67">
        <f>'GEF projects'!B49</f>
        <v>500</v>
      </c>
      <c r="J211" s="89">
        <f t="shared" si="14"/>
        <v>500</v>
      </c>
    </row>
    <row r="212" spans="1:10" x14ac:dyDescent="0.25">
      <c r="A212" s="15" t="s">
        <v>32</v>
      </c>
      <c r="B212" s="6">
        <v>6181.99</v>
      </c>
      <c r="C212" s="6">
        <v>516.77</v>
      </c>
      <c r="D212" s="7">
        <f t="shared" si="16"/>
        <v>8.3592823670048E-2</v>
      </c>
      <c r="E212" s="187"/>
      <c r="F212" s="195"/>
      <c r="G212" s="95"/>
      <c r="H212" s="8"/>
      <c r="I212" s="67"/>
      <c r="J212" s="89">
        <f t="shared" si="14"/>
        <v>0</v>
      </c>
    </row>
    <row r="213" spans="1:10" x14ac:dyDescent="0.25">
      <c r="A213" s="15" t="s">
        <v>14</v>
      </c>
      <c r="B213" s="6">
        <v>1871251.8</v>
      </c>
      <c r="C213" s="6">
        <v>42698</v>
      </c>
      <c r="D213" s="7">
        <f t="shared" si="16"/>
        <v>2.2817880522546456E-2</v>
      </c>
      <c r="E213" s="186">
        <v>0.17</v>
      </c>
      <c r="F213" s="194">
        <f>IF(D213&lt;E213, E213*B213-C213, 0)</f>
        <v>275414.80600000004</v>
      </c>
      <c r="G213" s="17">
        <f>IF(F213&gt;SUM(H213:I213),F213-SUM(H213:I213),0)</f>
        <v>269414.80600000004</v>
      </c>
      <c r="H213" s="9">
        <v>6000</v>
      </c>
      <c r="I213" s="67"/>
      <c r="J213" s="89">
        <f t="shared" si="14"/>
        <v>275414.80600000004</v>
      </c>
    </row>
    <row r="214" spans="1:10" x14ac:dyDescent="0.25">
      <c r="A214" s="15" t="s">
        <v>116</v>
      </c>
      <c r="B214" s="6">
        <v>147558.39999999999</v>
      </c>
      <c r="C214" s="6">
        <v>21426</v>
      </c>
      <c r="D214" s="7">
        <f t="shared" si="16"/>
        <v>0.14520352619708538</v>
      </c>
      <c r="E214" s="187"/>
      <c r="F214" s="195"/>
      <c r="G214" s="17"/>
      <c r="H214" s="8"/>
      <c r="I214" s="67"/>
      <c r="J214" s="89">
        <f t="shared" si="14"/>
        <v>0</v>
      </c>
    </row>
    <row r="215" spans="1:10" x14ac:dyDescent="0.25">
      <c r="A215" s="15" t="s">
        <v>123</v>
      </c>
      <c r="B215" s="6">
        <v>61261.1</v>
      </c>
      <c r="C215" s="6">
        <v>40092</v>
      </c>
      <c r="D215" s="7">
        <f t="shared" si="16"/>
        <v>0.65444466390580647</v>
      </c>
      <c r="E215" s="187"/>
      <c r="F215" s="195"/>
      <c r="G215" s="95"/>
      <c r="H215" s="8"/>
      <c r="I215" s="67"/>
      <c r="J215" s="89">
        <f t="shared" si="14"/>
        <v>0</v>
      </c>
    </row>
    <row r="216" spans="1:10" x14ac:dyDescent="0.25">
      <c r="A216" s="15" t="s">
        <v>66</v>
      </c>
      <c r="B216" s="6">
        <v>17335.900000000001</v>
      </c>
      <c r="C216" s="6">
        <v>710</v>
      </c>
      <c r="D216" s="7">
        <f t="shared" si="16"/>
        <v>4.0955473900980047E-2</v>
      </c>
      <c r="E216" s="187">
        <v>0.2</v>
      </c>
      <c r="F216" s="195" t="s">
        <v>381</v>
      </c>
      <c r="G216" s="95">
        <v>0</v>
      </c>
      <c r="H216" s="9">
        <f>(0.124-0.0423)*B216</f>
        <v>1416.34303</v>
      </c>
      <c r="I216" s="84">
        <f>'GEF projects'!B50</f>
        <v>248.45</v>
      </c>
      <c r="J216" s="89">
        <f t="shared" si="14"/>
        <v>1664.79303</v>
      </c>
    </row>
    <row r="217" spans="1:10" x14ac:dyDescent="0.25">
      <c r="A217" s="15" t="s">
        <v>249</v>
      </c>
      <c r="B217" s="6">
        <v>449390.2</v>
      </c>
      <c r="C217" s="6">
        <v>64385.55</v>
      </c>
      <c r="D217" s="7">
        <f t="shared" si="16"/>
        <v>0.14327315103889671</v>
      </c>
      <c r="E217" s="186">
        <v>0.2</v>
      </c>
      <c r="F217" s="194">
        <f>IF(D217&lt;E217, E217*B217-C217, 0)</f>
        <v>25492.490000000005</v>
      </c>
      <c r="G217" s="17">
        <f>IF(F217&gt;SUM(H217:I217),F217-SUM(H217:I217),0)</f>
        <v>25492.490000000005</v>
      </c>
      <c r="H217" s="8"/>
      <c r="I217" s="67"/>
      <c r="J217" s="89">
        <f t="shared" si="14"/>
        <v>25492.490000000005</v>
      </c>
    </row>
    <row r="218" spans="1:10" x14ac:dyDescent="0.25">
      <c r="A218" s="15" t="s">
        <v>224</v>
      </c>
      <c r="B218" s="6">
        <v>41355.300000000003</v>
      </c>
      <c r="C218" s="6">
        <v>3985.56</v>
      </c>
      <c r="D218" s="7">
        <f t="shared" si="16"/>
        <v>9.6373620793465398E-2</v>
      </c>
      <c r="E218" s="187"/>
      <c r="F218" s="195"/>
      <c r="G218" s="17"/>
      <c r="H218" s="8"/>
      <c r="I218" s="67"/>
      <c r="J218" s="89">
        <f t="shared" si="14"/>
        <v>0</v>
      </c>
    </row>
    <row r="219" spans="1:10" x14ac:dyDescent="0.25">
      <c r="A219" s="15" t="s">
        <v>96</v>
      </c>
      <c r="B219" s="6">
        <v>188612.6</v>
      </c>
      <c r="C219" s="6">
        <v>1293</v>
      </c>
      <c r="D219" s="7">
        <f t="shared" si="16"/>
        <v>6.8553214366378493E-3</v>
      </c>
      <c r="E219" s="187"/>
      <c r="F219" s="195"/>
      <c r="G219" s="95"/>
      <c r="H219" s="8"/>
      <c r="I219" s="67"/>
      <c r="J219" s="89">
        <f t="shared" si="14"/>
        <v>0</v>
      </c>
    </row>
    <row r="220" spans="1:10" x14ac:dyDescent="0.25">
      <c r="A220" s="15" t="s">
        <v>142</v>
      </c>
      <c r="B220" s="6">
        <v>36245.300000000003</v>
      </c>
      <c r="C220" s="6">
        <v>7146</v>
      </c>
      <c r="D220" s="7">
        <f t="shared" si="16"/>
        <v>0.19715659685531639</v>
      </c>
      <c r="E220" s="187"/>
      <c r="F220" s="195"/>
      <c r="G220" s="95"/>
      <c r="H220" s="11"/>
      <c r="I220" s="85"/>
      <c r="J220" s="89">
        <f t="shared" si="14"/>
        <v>0</v>
      </c>
    </row>
    <row r="221" spans="1:10" x14ac:dyDescent="0.25">
      <c r="A221" s="15" t="s">
        <v>176</v>
      </c>
      <c r="B221" s="6">
        <v>142244.20000000001</v>
      </c>
      <c r="C221" s="6">
        <v>31690</v>
      </c>
      <c r="D221" s="7">
        <f t="shared" si="16"/>
        <v>0.22278588511869024</v>
      </c>
      <c r="E221" s="187"/>
      <c r="F221" s="195"/>
      <c r="G221" s="17"/>
      <c r="H221" s="8"/>
      <c r="I221" s="67">
        <f>'GEF projects'!B51</f>
        <v>6600</v>
      </c>
      <c r="J221" s="89">
        <f t="shared" ref="J221:J251" si="17">G221+H221+I221</f>
        <v>6600</v>
      </c>
    </row>
    <row r="222" spans="1:10" x14ac:dyDescent="0.25">
      <c r="A222" s="15" t="s">
        <v>64</v>
      </c>
      <c r="B222" s="6">
        <v>517786.6</v>
      </c>
      <c r="C222" s="6">
        <v>97391</v>
      </c>
      <c r="D222" s="7">
        <f t="shared" si="16"/>
        <v>0.18809100119624572</v>
      </c>
      <c r="E222" s="187"/>
      <c r="F222" s="195"/>
      <c r="G222" s="17"/>
      <c r="H222" s="8"/>
      <c r="I222" s="67">
        <f>'GEF projects'!B52</f>
        <v>130</v>
      </c>
      <c r="J222" s="89">
        <f t="shared" si="17"/>
        <v>130</v>
      </c>
    </row>
    <row r="223" spans="1:10" ht="30" x14ac:dyDescent="0.25">
      <c r="A223" s="15" t="s">
        <v>200</v>
      </c>
      <c r="B223" s="6">
        <v>25443.1</v>
      </c>
      <c r="C223" s="6">
        <v>2456</v>
      </c>
      <c r="D223" s="7">
        <f t="shared" si="16"/>
        <v>9.6529117914090662E-2</v>
      </c>
      <c r="E223" s="187"/>
      <c r="F223" s="195"/>
      <c r="G223" s="95"/>
      <c r="H223" s="8"/>
      <c r="I223" s="84">
        <f>0.03*B223</f>
        <v>763.29299999999989</v>
      </c>
      <c r="J223" s="89">
        <f t="shared" si="17"/>
        <v>763.29299999999989</v>
      </c>
    </row>
    <row r="224" spans="1:10" x14ac:dyDescent="0.25">
      <c r="A224" s="15" t="s">
        <v>28</v>
      </c>
      <c r="B224" s="6">
        <v>15006.5</v>
      </c>
      <c r="C224" s="6">
        <v>1959</v>
      </c>
      <c r="D224" s="7">
        <f t="shared" si="16"/>
        <v>0.13054343117982209</v>
      </c>
      <c r="E224" s="187"/>
      <c r="F224" s="195"/>
      <c r="G224" s="17"/>
      <c r="H224" s="8"/>
      <c r="I224" s="84">
        <f>0.17*B224-C224</f>
        <v>592.10500000000002</v>
      </c>
      <c r="J224" s="89">
        <f t="shared" si="17"/>
        <v>592.10500000000002</v>
      </c>
    </row>
    <row r="225" spans="1:10" x14ac:dyDescent="0.25">
      <c r="A225" s="15" t="s">
        <v>140</v>
      </c>
      <c r="B225" s="6">
        <v>57480.6</v>
      </c>
      <c r="C225" s="6">
        <v>15877</v>
      </c>
      <c r="D225" s="7">
        <f t="shared" si="16"/>
        <v>0.27621493164650335</v>
      </c>
      <c r="E225" s="187"/>
      <c r="F225" s="195"/>
      <c r="G225" s="17"/>
      <c r="H225" s="8"/>
      <c r="I225" s="67"/>
      <c r="J225" s="89">
        <f t="shared" si="17"/>
        <v>0</v>
      </c>
    </row>
    <row r="226" spans="1:10" x14ac:dyDescent="0.25">
      <c r="A226" s="15" t="s">
        <v>158</v>
      </c>
      <c r="B226" s="6">
        <v>15.2</v>
      </c>
      <c r="C226" s="6">
        <v>1</v>
      </c>
      <c r="D226" s="7">
        <f t="shared" si="16"/>
        <v>6.5789473684210523E-2</v>
      </c>
      <c r="E226" s="187"/>
      <c r="F226" s="195"/>
      <c r="G226" s="95"/>
      <c r="H226" s="8"/>
      <c r="I226" s="67"/>
      <c r="J226" s="89">
        <f t="shared" si="17"/>
        <v>0</v>
      </c>
    </row>
    <row r="227" spans="1:10" x14ac:dyDescent="0.25">
      <c r="A227" s="15" t="s">
        <v>152</v>
      </c>
      <c r="B227" s="6">
        <v>766.5</v>
      </c>
      <c r="C227" s="6">
        <v>122</v>
      </c>
      <c r="D227" s="7">
        <f t="shared" si="16"/>
        <v>0.15916503587736464</v>
      </c>
      <c r="E227" s="187"/>
      <c r="F227" s="195"/>
      <c r="G227" s="95"/>
      <c r="H227" s="8"/>
      <c r="I227" s="67"/>
      <c r="J227" s="89">
        <f t="shared" si="17"/>
        <v>0</v>
      </c>
    </row>
    <row r="228" spans="1:10" x14ac:dyDescent="0.25">
      <c r="A228" s="15" t="s">
        <v>137</v>
      </c>
      <c r="B228" s="6">
        <v>5213.1000000000004</v>
      </c>
      <c r="C228" s="6">
        <v>1595</v>
      </c>
      <c r="D228" s="7">
        <f t="shared" si="16"/>
        <v>0.30595998542134234</v>
      </c>
      <c r="E228" s="187"/>
      <c r="F228" s="195"/>
      <c r="G228" s="95"/>
      <c r="H228" s="8"/>
      <c r="I228" s="84">
        <f>'GEF projects'!B55</f>
        <v>350</v>
      </c>
      <c r="J228" s="89">
        <f t="shared" si="17"/>
        <v>350</v>
      </c>
    </row>
    <row r="229" spans="1:10" x14ac:dyDescent="0.25">
      <c r="A229" s="15" t="s">
        <v>17</v>
      </c>
      <c r="B229" s="6">
        <v>155230.79999999999</v>
      </c>
      <c r="C229" s="6">
        <v>12283.95</v>
      </c>
      <c r="D229" s="7">
        <f t="shared" si="16"/>
        <v>7.9133458050850744E-2</v>
      </c>
      <c r="E229" s="187"/>
      <c r="F229" s="195"/>
      <c r="G229" s="95"/>
      <c r="H229" s="8"/>
      <c r="I229" s="67"/>
      <c r="J229" s="89">
        <f t="shared" si="17"/>
        <v>0</v>
      </c>
    </row>
    <row r="230" spans="1:10" x14ac:dyDescent="0.25">
      <c r="A230" s="15" t="s">
        <v>175</v>
      </c>
      <c r="B230" s="6">
        <v>782238.9</v>
      </c>
      <c r="C230" s="6">
        <v>1709</v>
      </c>
      <c r="D230" s="7">
        <f t="shared" si="16"/>
        <v>2.1847545551621122E-3</v>
      </c>
      <c r="E230" s="187"/>
      <c r="F230" s="195"/>
      <c r="G230" s="95"/>
      <c r="H230" s="8"/>
      <c r="I230" s="84">
        <f>'GEF projects'!B56</f>
        <v>899.6</v>
      </c>
      <c r="J230" s="89">
        <f t="shared" si="17"/>
        <v>899.6</v>
      </c>
    </row>
    <row r="231" spans="1:10" x14ac:dyDescent="0.25">
      <c r="A231" s="15" t="s">
        <v>195</v>
      </c>
      <c r="B231" s="6">
        <v>472137.5</v>
      </c>
      <c r="C231" s="6">
        <v>15336</v>
      </c>
      <c r="D231" s="7">
        <f t="shared" si="16"/>
        <v>3.2482062958354291E-2</v>
      </c>
      <c r="E231" s="187"/>
      <c r="F231" s="195"/>
      <c r="G231" s="95"/>
      <c r="H231" s="8"/>
      <c r="I231" s="67"/>
      <c r="J231" s="89">
        <f t="shared" si="17"/>
        <v>0</v>
      </c>
    </row>
    <row r="232" spans="1:10" x14ac:dyDescent="0.25">
      <c r="A232" s="15" t="s">
        <v>124</v>
      </c>
      <c r="B232" s="6">
        <v>1018.2</v>
      </c>
      <c r="C232" s="6">
        <v>452</v>
      </c>
      <c r="D232" s="7">
        <f t="shared" si="16"/>
        <v>0.44392064427420935</v>
      </c>
      <c r="E232" s="187"/>
      <c r="F232" s="195"/>
      <c r="G232" s="95"/>
      <c r="H232" s="8"/>
      <c r="I232" s="67"/>
      <c r="J232" s="89">
        <f t="shared" si="17"/>
        <v>0</v>
      </c>
    </row>
    <row r="233" spans="1:10" x14ac:dyDescent="0.25">
      <c r="A233" s="15" t="s">
        <v>134</v>
      </c>
      <c r="B233" s="6">
        <v>41.8</v>
      </c>
      <c r="C233" s="6">
        <v>1</v>
      </c>
      <c r="D233" s="7">
        <f t="shared" si="16"/>
        <v>2.3923444976076555E-2</v>
      </c>
      <c r="E233" s="187"/>
      <c r="F233" s="195"/>
      <c r="G233" s="17"/>
      <c r="H233" s="8"/>
      <c r="I233" s="67"/>
      <c r="J233" s="89">
        <f t="shared" si="17"/>
        <v>0</v>
      </c>
    </row>
    <row r="234" spans="1:10" x14ac:dyDescent="0.25">
      <c r="A234" s="15" t="s">
        <v>111</v>
      </c>
      <c r="B234" s="6">
        <v>243144.9</v>
      </c>
      <c r="C234" s="6">
        <v>39059</v>
      </c>
      <c r="D234" s="7">
        <f t="shared" si="16"/>
        <v>0.16064083597887516</v>
      </c>
      <c r="E234" s="186">
        <v>0.17</v>
      </c>
      <c r="F234" s="194">
        <f>IF(D234&lt;E234, E234*B234-C234, 0)</f>
        <v>2275.6330000000016</v>
      </c>
      <c r="G234" s="17">
        <f>IF(F234&gt;SUM(H234:I234),F234-SUM(H234:I234),0)</f>
        <v>1319.6330000000016</v>
      </c>
      <c r="H234" s="8"/>
      <c r="I234" s="84">
        <f>'GEF projects'!B57</f>
        <v>956</v>
      </c>
      <c r="J234" s="89">
        <f t="shared" si="17"/>
        <v>2275.6330000000016</v>
      </c>
    </row>
    <row r="235" spans="1:10" x14ac:dyDescent="0.25">
      <c r="A235" s="15" t="s">
        <v>44</v>
      </c>
      <c r="B235" s="6">
        <v>598828.80000000005</v>
      </c>
      <c r="C235" s="6">
        <v>23854.95</v>
      </c>
      <c r="D235" s="7">
        <f t="shared" si="16"/>
        <v>3.9836009891307832E-2</v>
      </c>
      <c r="E235" s="187">
        <v>0.15</v>
      </c>
      <c r="F235" s="194">
        <f>IF(D235&lt;E235, E235*B235-C235, 0)</f>
        <v>65969.37000000001</v>
      </c>
      <c r="G235" s="17">
        <f>IF(F235&gt;SUM(H235:I235),F235-SUM(H235:I235),0)</f>
        <v>0</v>
      </c>
      <c r="H235" s="9">
        <f>0.15*B235-C235</f>
        <v>65969.37000000001</v>
      </c>
      <c r="I235" s="67"/>
      <c r="J235" s="89">
        <f t="shared" si="17"/>
        <v>65969.37000000001</v>
      </c>
    </row>
    <row r="236" spans="1:10" x14ac:dyDescent="0.25">
      <c r="A236" s="15" t="s">
        <v>251</v>
      </c>
      <c r="B236" s="6">
        <v>70921.5</v>
      </c>
      <c r="C236" s="6">
        <v>9267</v>
      </c>
      <c r="D236" s="7">
        <f t="shared" si="16"/>
        <v>0.13066559505932615</v>
      </c>
      <c r="E236" s="187">
        <v>0.12</v>
      </c>
      <c r="F236" s="195" t="s">
        <v>394</v>
      </c>
      <c r="G236" s="95">
        <v>0</v>
      </c>
      <c r="H236" s="8"/>
      <c r="I236" s="67"/>
      <c r="J236" s="89">
        <f t="shared" si="17"/>
        <v>0</v>
      </c>
    </row>
    <row r="237" spans="1:10" ht="30" x14ac:dyDescent="0.25">
      <c r="A237" s="15" t="s">
        <v>33</v>
      </c>
      <c r="B237" s="6">
        <v>245247.6</v>
      </c>
      <c r="C237" s="6">
        <v>69790.28</v>
      </c>
      <c r="D237" s="7">
        <f t="shared" si="16"/>
        <v>0.28457069508529337</v>
      </c>
      <c r="E237" s="187"/>
      <c r="F237" s="195"/>
      <c r="G237" s="95"/>
      <c r="H237" s="8"/>
      <c r="I237" s="67"/>
      <c r="J237" s="89">
        <f t="shared" si="17"/>
        <v>0</v>
      </c>
    </row>
    <row r="238" spans="1:10" x14ac:dyDescent="0.25">
      <c r="A238" s="15" t="s">
        <v>4</v>
      </c>
      <c r="B238" s="6">
        <v>947252.7</v>
      </c>
      <c r="C238" s="6">
        <v>361334.97</v>
      </c>
      <c r="D238" s="7">
        <f t="shared" si="16"/>
        <v>0.38145572981739717</v>
      </c>
      <c r="E238" s="187"/>
      <c r="F238" s="195"/>
      <c r="G238" s="17"/>
      <c r="H238" s="8"/>
      <c r="I238" s="84">
        <f>'GEF projects'!B58</f>
        <v>1183.69</v>
      </c>
      <c r="J238" s="89">
        <f t="shared" si="17"/>
        <v>1183.69</v>
      </c>
    </row>
    <row r="239" spans="1:10" x14ac:dyDescent="0.25">
      <c r="A239" s="16" t="s">
        <v>210</v>
      </c>
      <c r="B239" s="6">
        <v>363.5</v>
      </c>
      <c r="C239" s="6">
        <v>365</v>
      </c>
      <c r="D239" s="7">
        <v>1</v>
      </c>
      <c r="E239" s="187"/>
      <c r="F239" s="195"/>
      <c r="G239" s="95"/>
      <c r="H239" s="8"/>
      <c r="I239" s="67"/>
      <c r="J239" s="89">
        <f t="shared" si="17"/>
        <v>0</v>
      </c>
    </row>
    <row r="240" spans="1:10" x14ac:dyDescent="0.25">
      <c r="A240" s="15" t="s">
        <v>252</v>
      </c>
      <c r="B240" s="6">
        <v>9490391.3000000007</v>
      </c>
      <c r="C240" s="6">
        <v>1230637</v>
      </c>
      <c r="D240" s="7">
        <f t="shared" ref="D240:D251" si="18">C240/B240</f>
        <v>0.12967189245400237</v>
      </c>
      <c r="E240" s="187"/>
      <c r="F240" s="195"/>
      <c r="G240" s="95"/>
      <c r="H240" s="8"/>
      <c r="I240" s="67"/>
      <c r="J240" s="89">
        <f t="shared" si="17"/>
        <v>0</v>
      </c>
    </row>
    <row r="241" spans="1:10" x14ac:dyDescent="0.25">
      <c r="A241" s="15" t="s">
        <v>216</v>
      </c>
      <c r="B241" s="6">
        <v>375.6</v>
      </c>
      <c r="C241" s="6">
        <v>51.82</v>
      </c>
      <c r="D241" s="7">
        <f t="shared" si="18"/>
        <v>0.13796592119275825</v>
      </c>
      <c r="E241" s="187"/>
      <c r="F241" s="195"/>
      <c r="G241" s="95"/>
      <c r="H241" s="8"/>
      <c r="I241" s="67"/>
      <c r="J241" s="89">
        <f t="shared" si="17"/>
        <v>0</v>
      </c>
    </row>
    <row r="242" spans="1:10" x14ac:dyDescent="0.25">
      <c r="A242" s="15" t="s">
        <v>24</v>
      </c>
      <c r="B242" s="6">
        <v>178459.9</v>
      </c>
      <c r="C242" s="6">
        <v>6242</v>
      </c>
      <c r="D242" s="7">
        <f t="shared" si="18"/>
        <v>3.4977045263389704E-2</v>
      </c>
      <c r="E242" s="186">
        <v>0.15</v>
      </c>
      <c r="F242" s="194">
        <f>IF(D242&lt;E242, E242*B242-C242, 0)</f>
        <v>20526.984999999997</v>
      </c>
      <c r="G242" s="17">
        <f>IF(F242&gt;SUM(H242:I242),F242-SUM(H242:I242),0)</f>
        <v>0</v>
      </c>
      <c r="H242" s="9">
        <f>0.15*B242-C242-I242</f>
        <v>19670.004999999997</v>
      </c>
      <c r="I242" s="84">
        <f>'GEF projects'!B59</f>
        <v>856.98</v>
      </c>
      <c r="J242" s="89">
        <f t="shared" si="17"/>
        <v>20526.984999999997</v>
      </c>
    </row>
    <row r="243" spans="1:10" x14ac:dyDescent="0.25">
      <c r="A243" s="15" t="s">
        <v>126</v>
      </c>
      <c r="B243" s="6">
        <v>450362.5</v>
      </c>
      <c r="C243" s="6">
        <v>15200</v>
      </c>
      <c r="D243" s="7">
        <f t="shared" si="18"/>
        <v>3.3750589802658972E-2</v>
      </c>
      <c r="E243" s="187"/>
      <c r="F243" s="195"/>
      <c r="G243" s="95"/>
      <c r="H243" s="9">
        <f>37000-I243</f>
        <v>34750</v>
      </c>
      <c r="I243" s="84">
        <f>'GEF projects'!B60</f>
        <v>2250</v>
      </c>
      <c r="J243" s="89">
        <f t="shared" si="17"/>
        <v>37000</v>
      </c>
    </row>
    <row r="244" spans="1:10" x14ac:dyDescent="0.25">
      <c r="A244" s="15" t="s">
        <v>193</v>
      </c>
      <c r="B244" s="6">
        <v>12575.1</v>
      </c>
      <c r="C244" s="6">
        <v>528</v>
      </c>
      <c r="D244" s="7">
        <f t="shared" si="18"/>
        <v>4.1987737672066226E-2</v>
      </c>
      <c r="E244" s="187"/>
      <c r="F244" s="195"/>
      <c r="G244" s="95"/>
      <c r="H244" s="8"/>
      <c r="I244" s="67">
        <f>'GEF projects'!B61</f>
        <v>150</v>
      </c>
      <c r="J244" s="89">
        <f t="shared" si="17"/>
        <v>150</v>
      </c>
    </row>
    <row r="245" spans="1:10" ht="30" x14ac:dyDescent="0.25">
      <c r="A245" s="15" t="s">
        <v>189</v>
      </c>
      <c r="B245" s="6">
        <v>917367.7</v>
      </c>
      <c r="C245" s="6">
        <v>496701</v>
      </c>
      <c r="D245" s="7">
        <f t="shared" si="18"/>
        <v>0.54144156154614997</v>
      </c>
      <c r="E245" s="187"/>
      <c r="F245" s="195"/>
      <c r="G245" s="17"/>
      <c r="H245" s="11"/>
      <c r="I245" s="85"/>
      <c r="J245" s="89">
        <f t="shared" si="17"/>
        <v>0</v>
      </c>
    </row>
    <row r="246" spans="1:10" x14ac:dyDescent="0.25">
      <c r="A246" s="15" t="s">
        <v>51</v>
      </c>
      <c r="B246" s="6">
        <v>329880.40000000002</v>
      </c>
      <c r="C246" s="6">
        <v>24994</v>
      </c>
      <c r="D246" s="7">
        <f t="shared" si="18"/>
        <v>7.5766853683941204E-2</v>
      </c>
      <c r="E246" s="186">
        <v>0.09</v>
      </c>
      <c r="F246" s="194">
        <f>IF(D246&lt;E246, E246*B246-C246, 0)</f>
        <v>4695.2360000000008</v>
      </c>
      <c r="G246" s="17">
        <f>IF(F246&gt;SUM(H246:I246),F246-SUM(H246:I246),0)</f>
        <v>289.23600000000079</v>
      </c>
      <c r="H246" s="9">
        <f>29400-C246-I246</f>
        <v>3374.54</v>
      </c>
      <c r="I246" s="84">
        <f>'GEF projects'!B62</f>
        <v>1031.46</v>
      </c>
      <c r="J246" s="89">
        <f t="shared" si="17"/>
        <v>4695.2360000000008</v>
      </c>
    </row>
    <row r="247" spans="1:10" x14ac:dyDescent="0.25">
      <c r="A247" s="15" t="s">
        <v>201</v>
      </c>
      <c r="B247" s="6">
        <v>180.6</v>
      </c>
      <c r="D247" s="7">
        <f t="shared" si="18"/>
        <v>0</v>
      </c>
      <c r="E247" s="187"/>
      <c r="F247" s="195"/>
      <c r="G247" s="95"/>
      <c r="H247" s="8"/>
      <c r="I247" s="67"/>
      <c r="J247" s="89">
        <f t="shared" si="17"/>
        <v>0</v>
      </c>
    </row>
    <row r="248" spans="1:10" x14ac:dyDescent="0.25">
      <c r="A248" s="15" t="s">
        <v>143</v>
      </c>
      <c r="B248" s="6">
        <v>268339.20000000001</v>
      </c>
      <c r="C248" s="6">
        <v>15270</v>
      </c>
      <c r="D248" s="7">
        <f t="shared" si="18"/>
        <v>5.6905588151116196E-2</v>
      </c>
      <c r="E248" s="187"/>
      <c r="F248" s="195"/>
      <c r="G248" s="95"/>
      <c r="H248" s="8"/>
      <c r="I248" s="67"/>
      <c r="J248" s="89">
        <f t="shared" si="17"/>
        <v>0</v>
      </c>
    </row>
    <row r="249" spans="1:10" x14ac:dyDescent="0.25">
      <c r="A249" s="15" t="s">
        <v>101</v>
      </c>
      <c r="B249" s="6">
        <v>455938.9</v>
      </c>
      <c r="C249" s="6">
        <v>3520</v>
      </c>
      <c r="D249" s="7">
        <f t="shared" si="18"/>
        <v>7.7203327024739496E-3</v>
      </c>
      <c r="E249" s="187"/>
      <c r="F249" s="195"/>
      <c r="G249" s="95"/>
      <c r="H249" s="8"/>
      <c r="I249" s="67"/>
      <c r="J249" s="89">
        <f t="shared" si="17"/>
        <v>0</v>
      </c>
    </row>
    <row r="250" spans="1:10" x14ac:dyDescent="0.25">
      <c r="A250" s="15" t="s">
        <v>186</v>
      </c>
      <c r="B250" s="6">
        <v>755640.4</v>
      </c>
      <c r="C250" s="6">
        <v>287514</v>
      </c>
      <c r="D250" s="7">
        <f t="shared" si="18"/>
        <v>0.38049050844819837</v>
      </c>
      <c r="E250" s="187"/>
      <c r="F250" s="195"/>
      <c r="G250" s="17"/>
      <c r="H250" s="8">
        <f>0.015*B250-I250</f>
        <v>5755.6059999999998</v>
      </c>
      <c r="I250" s="84">
        <f>'GEF projects'!B63</f>
        <v>5579</v>
      </c>
      <c r="J250" s="89">
        <f t="shared" si="17"/>
        <v>11334.606</v>
      </c>
    </row>
    <row r="251" spans="1:10" ht="15.75" thickBot="1" x14ac:dyDescent="0.3">
      <c r="A251" s="15" t="s">
        <v>22</v>
      </c>
      <c r="B251" s="6">
        <v>392573.2</v>
      </c>
      <c r="C251" s="6">
        <v>106837</v>
      </c>
      <c r="D251" s="7">
        <f t="shared" si="18"/>
        <v>0.27214542408906162</v>
      </c>
      <c r="E251" s="191">
        <v>0.28000000000000003</v>
      </c>
      <c r="F251" s="199">
        <f>IF(D251&lt;E251, E251*B251-C251, 0)</f>
        <v>3083.4960000000137</v>
      </c>
      <c r="G251" s="10">
        <f>IF(F251&gt;SUM(H251:I251),F251-SUM(H251:I251),0)</f>
        <v>3083.4960000000137</v>
      </c>
      <c r="H251" s="12"/>
      <c r="I251" s="83"/>
      <c r="J251" s="90">
        <f t="shared" si="17"/>
        <v>3083.4960000000137</v>
      </c>
    </row>
  </sheetData>
  <autoFilter ref="A1:J251">
    <sortState ref="A2:K251">
      <sortCondition ref="A1:A251"/>
    </sortState>
  </autoFilter>
  <conditionalFormatting sqref="F71">
    <cfRule type="notContainsBlanks" dxfId="1" priority="3">
      <formula>LEN(TRIM(F71))&gt;0</formula>
    </cfRule>
  </conditionalFormatting>
  <conditionalFormatting sqref="F89">
    <cfRule type="notContainsBlanks" dxfId="0" priority="2">
      <formula>LEN(TRIM(F89))&gt;0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Summary</vt:lpstr>
      <vt:lpstr>Priority Actions</vt:lpstr>
      <vt:lpstr>GEF projects</vt:lpstr>
      <vt:lpstr>NBSAPs</vt:lpstr>
      <vt:lpstr>All Country Data</vt:lpstr>
    </vt:vector>
  </TitlesOfParts>
  <Company>SCBD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sarat babu gidda</cp:lastModifiedBy>
  <cp:lastPrinted>2017-07-19T17:56:23Z</cp:lastPrinted>
  <dcterms:created xsi:type="dcterms:W3CDTF">2017-06-14T13:26:27Z</dcterms:created>
  <dcterms:modified xsi:type="dcterms:W3CDTF">2017-08-10T12:18:44Z</dcterms:modified>
</cp:coreProperties>
</file>