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30" windowWidth="9780" windowHeight="12000" tabRatio="848" activeTab="1"/>
  </bookViews>
  <sheets>
    <sheet name="Notes" sheetId="1" r:id="rId1"/>
    <sheet name="Totals" sheetId="2" r:id="rId2"/>
    <sheet name="Priority Actions" sheetId="3" r:id="rId3"/>
    <sheet name="GEF projects" sheetId="4" r:id="rId4"/>
    <sheet name="Ocean Conf commitments" sheetId="5" r:id="rId5"/>
    <sheet name="Other LMPAs" sheetId="6" r:id="rId6"/>
    <sheet name="M and C Challenges" sheetId="7" r:id="rId7"/>
    <sheet name="NBSAPs" sheetId="8" r:id="rId8"/>
    <sheet name="All country data" sheetId="9" r:id="rId9"/>
  </sheets>
  <definedNames>
    <definedName name="_xlnm._FilterDatabase" localSheetId="8" hidden="1">'All country data'!$A$1:$N$205</definedName>
    <definedName name="_xlnm._FilterDatabase" localSheetId="3" hidden="1">'GEF projects'!$A$1:$E$22</definedName>
  </definedNames>
  <calcPr calcId="145621" calcOnSave="0"/>
</workbook>
</file>

<file path=xl/calcChain.xml><?xml version="1.0" encoding="utf-8"?>
<calcChain xmlns="http://schemas.openxmlformats.org/spreadsheetml/2006/main">
  <c r="B29" i="5" l="1"/>
  <c r="B28" i="5"/>
  <c r="C9" i="7" l="1"/>
  <c r="C25" i="7"/>
  <c r="L146" i="9"/>
  <c r="L53" i="9"/>
  <c r="L26" i="9"/>
  <c r="L13" i="9"/>
  <c r="B11" i="6" l="1"/>
  <c r="B10" i="6"/>
  <c r="B12" i="6"/>
  <c r="H102" i="9"/>
  <c r="H142" i="9"/>
  <c r="H154" i="9"/>
  <c r="L158" i="9"/>
  <c r="H155" i="9"/>
  <c r="L155" i="9" s="1"/>
  <c r="H198" i="9"/>
  <c r="J41" i="9"/>
  <c r="G30" i="9" l="1"/>
  <c r="C9" i="2" l="1"/>
  <c r="J190" i="9" l="1"/>
  <c r="J184" i="9"/>
  <c r="J163" i="9"/>
  <c r="J89" i="9"/>
  <c r="J76" i="9"/>
  <c r="L76" i="9" s="1"/>
  <c r="J74" i="9"/>
  <c r="J66" i="9"/>
  <c r="J38" i="9"/>
  <c r="J35" i="9"/>
  <c r="B30" i="5"/>
  <c r="G76" i="9" l="1"/>
  <c r="M66" i="9"/>
  <c r="B13" i="5"/>
  <c r="J32" i="9" l="1"/>
  <c r="F12" i="9" l="1"/>
  <c r="G12" i="9" s="1"/>
  <c r="J145" i="9" l="1"/>
  <c r="J121" i="9"/>
  <c r="M101" i="9" l="1"/>
  <c r="M100" i="9"/>
  <c r="H45" i="9" l="1"/>
  <c r="H192" i="9"/>
  <c r="M204" i="9"/>
  <c r="K62" i="9"/>
  <c r="C27" i="7" l="1"/>
  <c r="B6" i="2" s="1"/>
  <c r="H42" i="9"/>
  <c r="L154" i="9"/>
  <c r="H105" i="9"/>
  <c r="H104" i="9"/>
  <c r="H57" i="9"/>
  <c r="H39" i="9"/>
  <c r="F81" i="9"/>
  <c r="G81" i="9" s="1"/>
  <c r="F14" i="9"/>
  <c r="G14" i="9" s="1"/>
  <c r="D3" i="9"/>
  <c r="D4" i="9"/>
  <c r="D5" i="9"/>
  <c r="D6" i="9"/>
  <c r="D8" i="9"/>
  <c r="F8" i="9" s="1"/>
  <c r="G8" i="9" s="1"/>
  <c r="D9" i="9"/>
  <c r="F9" i="9" s="1"/>
  <c r="G9" i="9" s="1"/>
  <c r="D10" i="9"/>
  <c r="D11" i="9"/>
  <c r="D12" i="9"/>
  <c r="D13" i="9"/>
  <c r="D14" i="9"/>
  <c r="D15" i="9"/>
  <c r="D16" i="9"/>
  <c r="D17" i="9"/>
  <c r="F17" i="9" s="1"/>
  <c r="G17" i="9" s="1"/>
  <c r="D18" i="9"/>
  <c r="D19" i="9"/>
  <c r="F19" i="9" s="1"/>
  <c r="G19" i="9" s="1"/>
  <c r="D20" i="9"/>
  <c r="D21" i="9"/>
  <c r="D22" i="9"/>
  <c r="D23" i="9"/>
  <c r="D24" i="9"/>
  <c r="F24" i="9" s="1"/>
  <c r="G24" i="9" s="1"/>
  <c r="D25" i="9"/>
  <c r="D26" i="9"/>
  <c r="D27" i="9"/>
  <c r="D28" i="9"/>
  <c r="D29" i="9"/>
  <c r="D30" i="9"/>
  <c r="D31" i="9"/>
  <c r="D32" i="9"/>
  <c r="D33" i="9"/>
  <c r="D34" i="9"/>
  <c r="D35" i="9"/>
  <c r="D36" i="9"/>
  <c r="D37" i="9"/>
  <c r="D38" i="9"/>
  <c r="D39" i="9"/>
  <c r="D40" i="9"/>
  <c r="F40" i="9" s="1"/>
  <c r="G40" i="9" s="1"/>
  <c r="D41" i="9"/>
  <c r="D42" i="9"/>
  <c r="F42" i="9" s="1"/>
  <c r="D43" i="9"/>
  <c r="D44" i="9"/>
  <c r="D45" i="9"/>
  <c r="F45" i="9" s="1"/>
  <c r="G45" i="9" s="1"/>
  <c r="D46" i="9"/>
  <c r="D47" i="9"/>
  <c r="D48" i="9"/>
  <c r="D49" i="9"/>
  <c r="D50" i="9"/>
  <c r="D51" i="9"/>
  <c r="D52" i="9"/>
  <c r="F52" i="9" s="1"/>
  <c r="G52" i="9" s="1"/>
  <c r="D53" i="9"/>
  <c r="D54" i="9"/>
  <c r="D55" i="9"/>
  <c r="D56" i="9"/>
  <c r="D57" i="9"/>
  <c r="D58" i="9"/>
  <c r="G58" i="9" s="1"/>
  <c r="D59" i="9"/>
  <c r="D60" i="9"/>
  <c r="D61" i="9"/>
  <c r="D62" i="9"/>
  <c r="D63" i="9"/>
  <c r="F63" i="9" s="1"/>
  <c r="G63" i="9" s="1"/>
  <c r="D64" i="9"/>
  <c r="D65" i="9"/>
  <c r="D66" i="9"/>
  <c r="D67" i="9"/>
  <c r="D68" i="9"/>
  <c r="D69" i="9"/>
  <c r="F69" i="9" s="1"/>
  <c r="G69" i="9" s="1"/>
  <c r="D70" i="9"/>
  <c r="F70" i="9" s="1"/>
  <c r="G70" i="9" s="1"/>
  <c r="D71" i="9"/>
  <c r="D72" i="9"/>
  <c r="D73" i="9"/>
  <c r="D74" i="9"/>
  <c r="D75" i="9"/>
  <c r="D76" i="9"/>
  <c r="D77" i="9"/>
  <c r="D78" i="9"/>
  <c r="D79" i="9"/>
  <c r="D80" i="9"/>
  <c r="D81" i="9"/>
  <c r="D82" i="9"/>
  <c r="D83" i="9"/>
  <c r="D84" i="9"/>
  <c r="D85" i="9"/>
  <c r="D86" i="9"/>
  <c r="D87" i="9"/>
  <c r="D88" i="9"/>
  <c r="D89" i="9"/>
  <c r="D90" i="9"/>
  <c r="D91" i="9"/>
  <c r="D92" i="9"/>
  <c r="D93" i="9"/>
  <c r="D94" i="9"/>
  <c r="D95" i="9"/>
  <c r="F95" i="9" s="1"/>
  <c r="D96" i="9"/>
  <c r="F96" i="9" s="1"/>
  <c r="G96" i="9" s="1"/>
  <c r="D97" i="9"/>
  <c r="D98" i="9"/>
  <c r="F98" i="9" s="1"/>
  <c r="G98" i="9" s="1"/>
  <c r="D99" i="9"/>
  <c r="D100" i="9"/>
  <c r="D101" i="9"/>
  <c r="D102" i="9"/>
  <c r="D103" i="9"/>
  <c r="D104" i="9"/>
  <c r="D105" i="9"/>
  <c r="D106" i="9"/>
  <c r="D107" i="9"/>
  <c r="D108" i="9"/>
  <c r="D109" i="9"/>
  <c r="D110" i="9"/>
  <c r="D111" i="9"/>
  <c r="D112" i="9"/>
  <c r="D113" i="9"/>
  <c r="D114" i="9"/>
  <c r="D115" i="9"/>
  <c r="D117" i="9"/>
  <c r="F117" i="9" s="1"/>
  <c r="G117" i="9" s="1"/>
  <c r="D118" i="9"/>
  <c r="D119" i="9"/>
  <c r="D120" i="9"/>
  <c r="D121" i="9"/>
  <c r="D122" i="9"/>
  <c r="F122" i="9" s="1"/>
  <c r="G122" i="9" s="1"/>
  <c r="D123" i="9"/>
  <c r="D124" i="9"/>
  <c r="D125" i="9"/>
  <c r="D126" i="9"/>
  <c r="D127" i="9"/>
  <c r="D128" i="9"/>
  <c r="D129" i="9"/>
  <c r="F129" i="9" s="1"/>
  <c r="G129" i="9" s="1"/>
  <c r="D130" i="9"/>
  <c r="D131" i="9"/>
  <c r="D132" i="9"/>
  <c r="D133" i="9"/>
  <c r="D134" i="9"/>
  <c r="D135" i="9"/>
  <c r="D136" i="9"/>
  <c r="D137" i="9"/>
  <c r="D138" i="9"/>
  <c r="D139" i="9"/>
  <c r="D140" i="9"/>
  <c r="D141" i="9"/>
  <c r="D142" i="9"/>
  <c r="D144" i="9"/>
  <c r="D145" i="9"/>
  <c r="D146" i="9"/>
  <c r="D147" i="9"/>
  <c r="D148" i="9"/>
  <c r="F148" i="9" s="1"/>
  <c r="G148" i="9" s="1"/>
  <c r="D149" i="9"/>
  <c r="D150" i="9"/>
  <c r="D151" i="9"/>
  <c r="F151" i="9" s="1"/>
  <c r="G151" i="9" s="1"/>
  <c r="D152" i="9"/>
  <c r="D153" i="9"/>
  <c r="D154" i="9"/>
  <c r="D155" i="9"/>
  <c r="D156" i="9"/>
  <c r="D157" i="9"/>
  <c r="D158" i="9"/>
  <c r="D159" i="9"/>
  <c r="D160" i="9"/>
  <c r="D161" i="9"/>
  <c r="D162" i="9"/>
  <c r="D163" i="9"/>
  <c r="F163" i="9" s="1"/>
  <c r="G163" i="9" s="1"/>
  <c r="D164" i="9"/>
  <c r="D165" i="9"/>
  <c r="D166" i="9"/>
  <c r="D168" i="9"/>
  <c r="F168" i="9" s="1"/>
  <c r="G168" i="9" s="1"/>
  <c r="D169" i="9"/>
  <c r="D170" i="9"/>
  <c r="D171" i="9"/>
  <c r="D172" i="9"/>
  <c r="D173" i="9"/>
  <c r="D174" i="9"/>
  <c r="F174" i="9" s="1"/>
  <c r="G174" i="9" s="1"/>
  <c r="D175" i="9"/>
  <c r="D176" i="9"/>
  <c r="D177" i="9"/>
  <c r="F177" i="9" s="1"/>
  <c r="G177" i="9" s="1"/>
  <c r="D178" i="9"/>
  <c r="D179" i="9"/>
  <c r="D180" i="9"/>
  <c r="D181" i="9"/>
  <c r="D182" i="9"/>
  <c r="D183" i="9"/>
  <c r="D184" i="9"/>
  <c r="D185" i="9"/>
  <c r="D186" i="9"/>
  <c r="D187" i="9"/>
  <c r="D188" i="9"/>
  <c r="D189" i="9"/>
  <c r="D190" i="9"/>
  <c r="D191" i="9"/>
  <c r="F191" i="9" s="1"/>
  <c r="G191" i="9" s="1"/>
  <c r="D192" i="9"/>
  <c r="D193" i="9"/>
  <c r="D194" i="9"/>
  <c r="F194" i="9" s="1"/>
  <c r="G194" i="9" s="1"/>
  <c r="D195" i="9"/>
  <c r="D196" i="9"/>
  <c r="D197" i="9"/>
  <c r="D198" i="9"/>
  <c r="F198" i="9" s="1"/>
  <c r="G198" i="9" s="1"/>
  <c r="D199" i="9"/>
  <c r="D200" i="9"/>
  <c r="D201" i="9"/>
  <c r="F201" i="9" s="1"/>
  <c r="G201" i="9" s="1"/>
  <c r="D202" i="9"/>
  <c r="D203" i="9"/>
  <c r="D204" i="9"/>
  <c r="D2" i="9"/>
  <c r="F2" i="9" s="1"/>
  <c r="G2" i="9" s="1"/>
  <c r="G42" i="9" l="1"/>
  <c r="D13" i="8" s="1"/>
  <c r="D40" i="8" s="1"/>
  <c r="G95" i="9"/>
  <c r="L95" i="9" s="1"/>
  <c r="F32" i="9"/>
  <c r="G32" i="9" s="1"/>
  <c r="F159" i="9"/>
  <c r="G159" i="9" s="1"/>
  <c r="E6" i="2" l="1"/>
  <c r="D6" i="2"/>
  <c r="M3" i="9"/>
  <c r="M4" i="9"/>
  <c r="M5" i="9"/>
  <c r="M6" i="9"/>
  <c r="M7" i="9"/>
  <c r="M10" i="9"/>
  <c r="M11" i="9"/>
  <c r="M12" i="9"/>
  <c r="M16" i="9"/>
  <c r="M18" i="9"/>
  <c r="M20" i="9"/>
  <c r="M21" i="9"/>
  <c r="M22" i="9"/>
  <c r="M23" i="9"/>
  <c r="M25" i="9"/>
  <c r="M27" i="9"/>
  <c r="M28" i="9"/>
  <c r="M29" i="9"/>
  <c r="M31" i="9"/>
  <c r="M33" i="9"/>
  <c r="M35" i="9"/>
  <c r="M36" i="9"/>
  <c r="M37" i="9"/>
  <c r="M41" i="9"/>
  <c r="M43" i="9"/>
  <c r="M44" i="9"/>
  <c r="M46" i="9"/>
  <c r="M47" i="9"/>
  <c r="M48" i="9"/>
  <c r="M49" i="9"/>
  <c r="M50" i="9"/>
  <c r="M51" i="9"/>
  <c r="M54" i="9"/>
  <c r="M55" i="9"/>
  <c r="M56" i="9"/>
  <c r="M59" i="9"/>
  <c r="M60" i="9"/>
  <c r="M61" i="9"/>
  <c r="M64" i="9"/>
  <c r="M65" i="9"/>
  <c r="M67" i="9"/>
  <c r="M68" i="9"/>
  <c r="M71" i="9"/>
  <c r="M72" i="9"/>
  <c r="M73" i="9"/>
  <c r="M74" i="9"/>
  <c r="M75" i="9"/>
  <c r="M77" i="9"/>
  <c r="M78" i="9"/>
  <c r="M80" i="9"/>
  <c r="M82" i="9"/>
  <c r="M83" i="9"/>
  <c r="M84" i="9"/>
  <c r="M85" i="9"/>
  <c r="M86" i="9"/>
  <c r="M87" i="9"/>
  <c r="M88" i="9"/>
  <c r="M90" i="9"/>
  <c r="M91" i="9"/>
  <c r="M92" i="9"/>
  <c r="M93" i="9"/>
  <c r="M94" i="9"/>
  <c r="M97" i="9"/>
  <c r="M99" i="9"/>
  <c r="M103" i="9"/>
  <c r="M106" i="9"/>
  <c r="M107" i="9"/>
  <c r="M108" i="9"/>
  <c r="M109" i="9"/>
  <c r="M110" i="9"/>
  <c r="M111" i="9"/>
  <c r="M112" i="9"/>
  <c r="M113" i="9"/>
  <c r="M114" i="9"/>
  <c r="M115" i="9"/>
  <c r="M116" i="9"/>
  <c r="M119" i="9"/>
  <c r="M120" i="9"/>
  <c r="M121" i="9"/>
  <c r="M123" i="9"/>
  <c r="M124" i="9"/>
  <c r="M125" i="9"/>
  <c r="M126" i="9"/>
  <c r="M127" i="9"/>
  <c r="M128" i="9"/>
  <c r="M130" i="9"/>
  <c r="M131" i="9"/>
  <c r="M132" i="9"/>
  <c r="M133" i="9"/>
  <c r="M134" i="9"/>
  <c r="M135" i="9"/>
  <c r="M136" i="9"/>
  <c r="M137" i="9"/>
  <c r="M138" i="9"/>
  <c r="M139" i="9"/>
  <c r="M140" i="9"/>
  <c r="M141" i="9"/>
  <c r="M143" i="9"/>
  <c r="M144" i="9"/>
  <c r="M145" i="9"/>
  <c r="M147" i="9"/>
  <c r="M149" i="9"/>
  <c r="M150" i="9"/>
  <c r="M152" i="9"/>
  <c r="M153" i="9"/>
  <c r="M156" i="9"/>
  <c r="M157" i="9"/>
  <c r="M160" i="9"/>
  <c r="M161" i="9"/>
  <c r="M162" i="9"/>
  <c r="M164" i="9"/>
  <c r="M165" i="9"/>
  <c r="M166" i="9"/>
  <c r="M167" i="9"/>
  <c r="M169" i="9"/>
  <c r="M170" i="9"/>
  <c r="M171" i="9"/>
  <c r="M172" i="9"/>
  <c r="M173" i="9"/>
  <c r="M175" i="9"/>
  <c r="M176" i="9"/>
  <c r="M178" i="9"/>
  <c r="M179" i="9"/>
  <c r="M180" i="9"/>
  <c r="M181" i="9"/>
  <c r="M183" i="9"/>
  <c r="M184" i="9"/>
  <c r="M185" i="9"/>
  <c r="M186" i="9"/>
  <c r="M187" i="9"/>
  <c r="M188" i="9"/>
  <c r="M189" i="9"/>
  <c r="M190" i="9"/>
  <c r="M193" i="9"/>
  <c r="M195" i="9"/>
  <c r="M196" i="9"/>
  <c r="M197" i="9"/>
  <c r="M199" i="9"/>
  <c r="M200" i="9"/>
  <c r="M202" i="9"/>
  <c r="M203" i="9"/>
  <c r="B24" i="4" l="1"/>
  <c r="B3" i="2" s="1"/>
  <c r="E3" i="2" l="1"/>
  <c r="D3" i="2"/>
  <c r="M81" i="9"/>
  <c r="M30" i="9"/>
  <c r="M14" i="9"/>
  <c r="M158" i="9"/>
  <c r="M146" i="9"/>
  <c r="M53" i="9"/>
  <c r="M26" i="9"/>
  <c r="M13" i="9"/>
  <c r="M62" i="9"/>
  <c r="M118" i="9"/>
  <c r="K34" i="9"/>
  <c r="M163" i="9"/>
  <c r="M38" i="9"/>
  <c r="M89" i="9"/>
  <c r="M192" i="9"/>
  <c r="M105" i="9"/>
  <c r="M104" i="9"/>
  <c r="M76" i="9" l="1"/>
  <c r="M34" i="9"/>
  <c r="M154" i="9"/>
  <c r="M155" i="9"/>
  <c r="H79" i="9"/>
  <c r="M79" i="9" s="1"/>
  <c r="M57" i="9"/>
  <c r="M42" i="9"/>
  <c r="M39" i="9"/>
  <c r="H15" i="9"/>
  <c r="M15" i="9" s="1"/>
  <c r="C7" i="3"/>
  <c r="M102" i="9"/>
  <c r="M8" i="9"/>
  <c r="M9" i="9"/>
  <c r="M17" i="9"/>
  <c r="M19" i="9"/>
  <c r="M24" i="9"/>
  <c r="M32" i="9"/>
  <c r="M40" i="9"/>
  <c r="M52" i="9"/>
  <c r="M58" i="9"/>
  <c r="M63" i="9"/>
  <c r="M69" i="9"/>
  <c r="M70" i="9"/>
  <c r="M95" i="9"/>
  <c r="M96" i="9"/>
  <c r="M122" i="9"/>
  <c r="M148" i="9"/>
  <c r="M151" i="9"/>
  <c r="M159" i="9"/>
  <c r="M168" i="9"/>
  <c r="M174" i="9"/>
  <c r="M177" i="9"/>
  <c r="M182" i="9"/>
  <c r="M191" i="9"/>
  <c r="M194" i="9"/>
  <c r="M198" i="9"/>
  <c r="M201" i="9"/>
  <c r="M2" i="9"/>
  <c r="M129" i="9" l="1"/>
  <c r="M117" i="9"/>
  <c r="M98" i="9"/>
  <c r="M45" i="9"/>
  <c r="M142" i="9"/>
  <c r="B2" i="5"/>
  <c r="B4" i="2" l="1"/>
  <c r="B5" i="6"/>
  <c r="E4" i="2" l="1"/>
  <c r="D4" i="2"/>
  <c r="B5" i="2"/>
  <c r="E5" i="2" l="1"/>
  <c r="D5" i="2"/>
  <c r="B7" i="2"/>
  <c r="E7" i="2" l="1"/>
  <c r="D7" i="2"/>
  <c r="C21" i="3"/>
  <c r="C29" i="3" l="1"/>
  <c r="B2" i="2" s="1"/>
  <c r="E2" i="2" l="1"/>
  <c r="E9" i="2"/>
  <c r="E11" i="2" s="1"/>
  <c r="D2" i="2"/>
  <c r="D9" i="2" s="1"/>
  <c r="D11" i="2" s="1"/>
  <c r="B9" i="2"/>
</calcChain>
</file>

<file path=xl/sharedStrings.xml><?xml version="1.0" encoding="utf-8"?>
<sst xmlns="http://schemas.openxmlformats.org/spreadsheetml/2006/main" count="694" uniqueCount="507">
  <si>
    <t>National Commitments</t>
  </si>
  <si>
    <t>Country</t>
  </si>
  <si>
    <t>Priority Action</t>
  </si>
  <si>
    <t>Area to be added (km2)</t>
  </si>
  <si>
    <t>Bahamas</t>
  </si>
  <si>
    <t>10% of the nearshore and marine environment has been protected (2.5 million ha), the goal is now to reach the 20% goal (or 5 million hectares) - increase of 2.5 million ha</t>
  </si>
  <si>
    <t>Bangladesh</t>
  </si>
  <si>
    <t xml:space="preserve">Brazil </t>
  </si>
  <si>
    <t>Cameroon</t>
  </si>
  <si>
    <t>Finalize classification of current projects for 2 national marine parks off Campo and Bakassi representing 5160.53 km2</t>
  </si>
  <si>
    <t>Comoros</t>
  </si>
  <si>
    <t>Costa Rica</t>
  </si>
  <si>
    <t>Cuba</t>
  </si>
  <si>
    <t>Equatorial Guniea</t>
  </si>
  <si>
    <t>Eritrea</t>
  </si>
  <si>
    <t>Guatamala</t>
  </si>
  <si>
    <t>India</t>
  </si>
  <si>
    <t>Kuwait</t>
  </si>
  <si>
    <t>Lebanon</t>
  </si>
  <si>
    <t>Liberia</t>
  </si>
  <si>
    <t xml:space="preserve">Malaysia </t>
  </si>
  <si>
    <t>Philippines</t>
  </si>
  <si>
    <t>Saudi Arabia</t>
  </si>
  <si>
    <t>St. Kitts</t>
  </si>
  <si>
    <t>St. Lucia</t>
  </si>
  <si>
    <t xml:space="preserve">St. Vincent </t>
  </si>
  <si>
    <t>United Arab Emirates</t>
  </si>
  <si>
    <t xml:space="preserve">Uruguay </t>
  </si>
  <si>
    <t>Total:</t>
  </si>
  <si>
    <t>Albania</t>
  </si>
  <si>
    <t>Designation of new MPAs</t>
  </si>
  <si>
    <t>Belize</t>
  </si>
  <si>
    <t>Cambodia</t>
  </si>
  <si>
    <t>China</t>
  </si>
  <si>
    <t xml:space="preserve">Dominican Republic </t>
  </si>
  <si>
    <t>They will evaluate min between 2 and 5 areas (terrestrial and marine) to incorporate them in the national protected area system</t>
  </si>
  <si>
    <t xml:space="preserve">Fiji </t>
  </si>
  <si>
    <t>Gabon</t>
  </si>
  <si>
    <t>Georgia</t>
  </si>
  <si>
    <t>Establishment of the new Protected area at Chorokhi Delta, which involves marine area as well;</t>
  </si>
  <si>
    <t>Honduras</t>
  </si>
  <si>
    <t>Indonesia</t>
  </si>
  <si>
    <t>Iran</t>
  </si>
  <si>
    <t>Increase protected areas, implementation of the MPAs</t>
  </si>
  <si>
    <t>Madagascar</t>
  </si>
  <si>
    <t>Initiate Marine Protected Areas (MPA) creation</t>
  </si>
  <si>
    <t>Montenegro</t>
  </si>
  <si>
    <t>Establishment of marine protected areas, make and adopt management plans for them</t>
  </si>
  <si>
    <t>Myanmar</t>
  </si>
  <si>
    <t xml:space="preserve">Nauru </t>
  </si>
  <si>
    <t>GEF 5 project - Improved management effectiveness of new  marine conservation areas</t>
  </si>
  <si>
    <t>Papua New Guinea</t>
  </si>
  <si>
    <t>Recognize, register and gazette the existing WMAs and LMMAs that meet the IUCN criteria</t>
  </si>
  <si>
    <t>Peru</t>
  </si>
  <si>
    <t>Increase the percentage of protected areas in marine environment.</t>
  </si>
  <si>
    <t>Republic of Korea</t>
  </si>
  <si>
    <t>Increase the number of Marine Protected Areas to 12</t>
  </si>
  <si>
    <t>Senegal</t>
  </si>
  <si>
    <t>Create new marine protected areas</t>
  </si>
  <si>
    <t>Sierra Leone</t>
  </si>
  <si>
    <t>The four proposed estuarine systems of the Scarcies River, the Sierra Leone River, the Yawri Bay and the Sherbro River to be declared a marine protected area.</t>
  </si>
  <si>
    <t>Sri Lanka</t>
  </si>
  <si>
    <t>Togo</t>
  </si>
  <si>
    <t xml:space="preserve">Creation of a marine protected area (MPA) </t>
  </si>
  <si>
    <t>Tonga</t>
  </si>
  <si>
    <t>Finalise the 27 proposed SMA sites for cabinet submission</t>
  </si>
  <si>
    <t>United Republic of Tanzania</t>
  </si>
  <si>
    <t>Create new marine protected areas in biodiversity hotspots and fragile ecosystems</t>
  </si>
  <si>
    <t xml:space="preserve">Chile </t>
  </si>
  <si>
    <t>Mexico</t>
  </si>
  <si>
    <t>Sudan</t>
  </si>
  <si>
    <t xml:space="preserve">Vietnam </t>
  </si>
  <si>
    <r>
      <t xml:space="preserve">Improve management of marine resources and strengthening resilience to climate change.  This is being done through the implementation of a </t>
    </r>
    <r>
      <rPr>
        <sz val="10"/>
        <color indexed="8"/>
        <rFont val="Calibri"/>
        <family val="2"/>
      </rPr>
      <t>National replenishment Zone Expansion Project.</t>
    </r>
  </si>
  <si>
    <r>
      <t xml:space="preserve">Establish </t>
    </r>
    <r>
      <rPr>
        <sz val="10"/>
        <color indexed="8"/>
        <rFont val="Calibri"/>
        <family val="2"/>
      </rPr>
      <t xml:space="preserve">new MPAs (encourage marine conservation local area) </t>
    </r>
  </si>
  <si>
    <t>From 22 Proposed PAs- addition of 273 km2 in marine protection</t>
  </si>
  <si>
    <t>Source of MPA additions</t>
  </si>
  <si>
    <r>
      <rPr>
        <sz val="11"/>
        <color indexed="8"/>
        <rFont val="Calibri"/>
        <family val="2"/>
      </rPr>
      <t>Micronesia and Caribbean Challenge</t>
    </r>
    <r>
      <rPr>
        <sz val="11"/>
        <color indexed="8"/>
        <rFont val="Calibri"/>
        <family val="2"/>
      </rPr>
      <t xml:space="preserve"> </t>
    </r>
  </si>
  <si>
    <t>East And South East Asia</t>
  </si>
  <si>
    <t>Latin American and the Caribbean</t>
  </si>
  <si>
    <t>South, Central and West Asia</t>
  </si>
  <si>
    <t>Africa</t>
  </si>
  <si>
    <t>Target (%)</t>
  </si>
  <si>
    <t>Page # in NBSAP</t>
  </si>
  <si>
    <t>Marine/Coastal Protected Area Coverage: Reach 6% by 2020</t>
  </si>
  <si>
    <t>Antigua and Barbuda</t>
  </si>
  <si>
    <t>Marine/Coastal Protected Area Coverage: Reach 10% by 2020</t>
  </si>
  <si>
    <t>36/44</t>
  </si>
  <si>
    <t>Argentina</t>
  </si>
  <si>
    <t>Marine/Coastal Protected Area Coverage: Reach 4% by 2020</t>
  </si>
  <si>
    <t>Bahrain</t>
  </si>
  <si>
    <t>Target 1 Protect an additional 10% of Bahrain's territorial, marine and coastal areas</t>
  </si>
  <si>
    <t>add 10%</t>
  </si>
  <si>
    <t>Belgium</t>
  </si>
  <si>
    <t>Marine/Coastal Conservation Area Coverage: Reach at least 10% by 2020</t>
  </si>
  <si>
    <t>46-47</t>
  </si>
  <si>
    <t>Benin</t>
  </si>
  <si>
    <t>Marine/Coastal Protected Area Coverage: Reach 5%</t>
  </si>
  <si>
    <t>Brazil</t>
  </si>
  <si>
    <t xml:space="preserve">Marine/Coastal Protected Area Coverage: Reach 10% by 2020 </t>
  </si>
  <si>
    <r>
      <t xml:space="preserve">Marine/Coastal Protected Areas and Freshwater Protected Areas Coverage: </t>
    </r>
    <r>
      <rPr>
        <b/>
        <sz val="11"/>
        <rFont val="Calibri"/>
        <family val="2"/>
      </rPr>
      <t xml:space="preserve">Double 2010 levels by 2020 </t>
    </r>
    <r>
      <rPr>
        <sz val="11"/>
        <rFont val="Calibri"/>
        <family val="2"/>
      </rPr>
      <t xml:space="preserve">(83.88km2 in 2010) </t>
    </r>
  </si>
  <si>
    <t>n/a</t>
  </si>
  <si>
    <t>169-170</t>
  </si>
  <si>
    <t>Canada</t>
  </si>
  <si>
    <t>Congo</t>
  </si>
  <si>
    <t>18-19</t>
  </si>
  <si>
    <t>Dominica</t>
  </si>
  <si>
    <t xml:space="preserve">Marine/Coastal Protection Conservation Area Coverage: Reach at least 15% by 2020 </t>
  </si>
  <si>
    <t>27/43</t>
  </si>
  <si>
    <t>Marine/Coastal Protected Area Coverage: Reach 360,594 hectares by 2020</t>
  </si>
  <si>
    <t>Finland</t>
  </si>
  <si>
    <t>Gambia (the)</t>
  </si>
  <si>
    <t>69-70</t>
  </si>
  <si>
    <t>Cover at least 2.5% of marine areas by protected areas by 2020</t>
  </si>
  <si>
    <t>Grenada</t>
  </si>
  <si>
    <t>33-35</t>
  </si>
  <si>
    <t>Guinea</t>
  </si>
  <si>
    <t>Jamaica</t>
  </si>
  <si>
    <t>10 per cent of coastal and marine areas</t>
  </si>
  <si>
    <t>Japan</t>
  </si>
  <si>
    <t>Jordan</t>
  </si>
  <si>
    <t>Morocco</t>
  </si>
  <si>
    <t>Marine/Coastal Protected Area Coverage: Reach at least 10% by 2020</t>
  </si>
  <si>
    <t>New Zealand</t>
  </si>
  <si>
    <t>Marine/Coastal Protected Area Coverage: Reach 10% by  2020</t>
  </si>
  <si>
    <t>Russian Federation</t>
  </si>
  <si>
    <t>"Aquatic" Protected Area Coverage: Reach at least 10% by 2020</t>
  </si>
  <si>
    <t>Samoa</t>
  </si>
  <si>
    <t>Seychelles</t>
  </si>
  <si>
    <t>Solomon Islands</t>
  </si>
  <si>
    <t>Marine/Coastal Protected Area Coverage: Reach 15% by  2020</t>
  </si>
  <si>
    <t>Marine/Coastal Conservation Area Coverage: Reach 10% by  2020</t>
  </si>
  <si>
    <t>Sweden</t>
  </si>
  <si>
    <t xml:space="preserve">10 per cent of Sweden’s marine areas, by 2020 </t>
  </si>
  <si>
    <t>Ukraine</t>
  </si>
  <si>
    <t>Marine/Coastal Protected Area Coverage: Increase from 6.5% to 10% by 2020</t>
  </si>
  <si>
    <t>Uruguay</t>
  </si>
  <si>
    <t>"Sea Surface" Conservation Area Coverage: Reach 2% by 2020</t>
  </si>
  <si>
    <t>Viet Nam</t>
  </si>
  <si>
    <t>94-95/128</t>
  </si>
  <si>
    <t>Marine/Coastal Conservation Area Coverage: Reach 27% by 2020</t>
  </si>
  <si>
    <t>Marine Protected Area Coverage: Double coverage by 2020 [[2016 level is 11km2]]</t>
  </si>
  <si>
    <t>C-1: Appropriately conserve and manage  10% of ocean areas and the like</t>
  </si>
  <si>
    <t>Marine protected areas cover 10% of the marine and coastal ecosystems in the country</t>
  </si>
  <si>
    <t>Protected Area Coverage (by type): Marine protected area reach 0.24% of the sea area by 2020</t>
  </si>
  <si>
    <t>Participants</t>
  </si>
  <si>
    <t>Federated States of Micronesia</t>
  </si>
  <si>
    <t>Republic of the Marshall Islands</t>
  </si>
  <si>
    <t>Republic of Palau</t>
  </si>
  <si>
    <t>Guam</t>
  </si>
  <si>
    <t>Other commitments</t>
  </si>
  <si>
    <t>other commitments</t>
  </si>
  <si>
    <t>National Priority Action (25,000km2)</t>
  </si>
  <si>
    <t>British Virgin Islands</t>
  </si>
  <si>
    <t>Dominican Republic</t>
  </si>
  <si>
    <t>St Kitts and Nevis</t>
  </si>
  <si>
    <t>St Lucia</t>
  </si>
  <si>
    <t>St Vincent and the Grenadines</t>
  </si>
  <si>
    <t>National Priority Action (1,184km2)</t>
  </si>
  <si>
    <t>Micronesia Challenge</t>
  </si>
  <si>
    <t xml:space="preserve">Caribbean Challenge Initiative </t>
  </si>
  <si>
    <t>Protecting and sustainably managing 20% of marine and coastal ecosystems by 2020</t>
  </si>
  <si>
    <t>The overall goal of the Challenge is to effectively conserve at least 30% of the near-shore marine resources</t>
  </si>
  <si>
    <t>Project ID</t>
  </si>
  <si>
    <t>Project Status</t>
  </si>
  <si>
    <t>Comments</t>
  </si>
  <si>
    <t>Project Approved</t>
  </si>
  <si>
    <t>Azerbaijan</t>
  </si>
  <si>
    <t>Concept Approved</t>
  </si>
  <si>
    <t>Djibouti</t>
  </si>
  <si>
    <t>Ecuador</t>
  </si>
  <si>
    <t>El Salvador</t>
  </si>
  <si>
    <t>Fiji</t>
  </si>
  <si>
    <t>Guatemala</t>
  </si>
  <si>
    <t>Haiti</t>
  </si>
  <si>
    <t>Kiribati</t>
  </si>
  <si>
    <t>10% of marine areas of Gilbert and Line groups (total area of EEZ around Gilbert and Line Islands is ~2.71 million km2)</t>
  </si>
  <si>
    <t>Niuie</t>
  </si>
  <si>
    <t>South Africa</t>
  </si>
  <si>
    <t>Tuvalu</t>
  </si>
  <si>
    <t>Vanuatu</t>
  </si>
  <si>
    <t>Vietnam</t>
  </si>
  <si>
    <t>Cook Islands</t>
  </si>
  <si>
    <t>Marshall Islands</t>
  </si>
  <si>
    <t>Chile</t>
  </si>
  <si>
    <t>Pakistan</t>
  </si>
  <si>
    <t>Germany (CCAMLR)</t>
  </si>
  <si>
    <t>CCAMLR members would have to approve this proposal unanimously (next meeting Oct 2017)</t>
  </si>
  <si>
    <t>19 countries</t>
  </si>
  <si>
    <r>
      <t>Waiting on information regarding how much area is added in each of 19 countries</t>
    </r>
    <r>
      <rPr>
        <b/>
        <sz val="10"/>
        <color indexed="8"/>
        <rFont val="Calibri"/>
        <family val="2"/>
      </rPr>
      <t xml:space="preserve"> (not included)</t>
    </r>
  </si>
  <si>
    <t>Total (national waters)</t>
  </si>
  <si>
    <t>#OceanAction15701</t>
  </si>
  <si>
    <t xml:space="preserve">To effectively conserve and manage 25% percent of Grenada's nearshore marine environment. </t>
  </si>
  <si>
    <t>#OceanAction14548</t>
  </si>
  <si>
    <t xml:space="preserve">The coverage of new nearshore marine protected areas is increased by 30,550 ha.  </t>
  </si>
  <si>
    <t>#OceanAction15593</t>
  </si>
  <si>
    <r>
      <t xml:space="preserve">New MPAs designated in Indonesia and Timor Leste covering 645,000 ha in area including approximately 220,000 ha in mangrove ecosystems with corresponding management plans prepared. </t>
    </r>
    <r>
      <rPr>
        <b/>
        <sz val="10"/>
        <color indexed="8"/>
        <rFont val="Calibri"/>
        <family val="2"/>
      </rPr>
      <t xml:space="preserve"> </t>
    </r>
  </si>
  <si>
    <t>#OceanAction15560</t>
  </si>
  <si>
    <t xml:space="preserve">Creation of the Cape Horn Marine Protected Area, will encompass approximately 15 million hectares of marine ecosystems.  </t>
  </si>
  <si>
    <t>#OceanAction15763</t>
  </si>
  <si>
    <t>#OceanAction16038</t>
  </si>
  <si>
    <t>Protecting 3.7 sq kms through the $15 million WCS Marine Protected Area Fund - in 19 countries</t>
  </si>
  <si>
    <t xml:space="preserve"> #OceanAction16178</t>
  </si>
  <si>
    <t>links</t>
  </si>
  <si>
    <t>Antarctica (ABNJ)</t>
  </si>
  <si>
    <t>Ross Sea MPA - to come into force Dec 2017</t>
  </si>
  <si>
    <t>CCAMLR Conservation Measure 91-05 (2016)</t>
  </si>
  <si>
    <t>News release (with area)</t>
  </si>
  <si>
    <t>Gov.uk press release</t>
  </si>
  <si>
    <t>Press release</t>
  </si>
  <si>
    <t>French Polynesia</t>
  </si>
  <si>
    <t>Total (global)</t>
  </si>
  <si>
    <t>SPREP</t>
  </si>
  <si>
    <t>Hawai'i Commitments</t>
  </si>
  <si>
    <t>Proposed marine conservation</t>
  </si>
  <si>
    <t>SIDS Action Platform</t>
  </si>
  <si>
    <t xml:space="preserve">Goal of protecting 30% of sea by 2020. From their workshop submissions, it was confirmed "30% is government commitment under SIDs for marine protection". At COP13 side event, they announced they were on track to meeting targets. </t>
  </si>
  <si>
    <r>
      <t>Other large marine protected areas (&gt;100,000 km</t>
    </r>
    <r>
      <rPr>
        <vertAlign val="superscript"/>
        <sz val="11"/>
        <color indexed="8"/>
        <rFont val="Calibri"/>
        <family val="2"/>
      </rPr>
      <t>2</t>
    </r>
    <r>
      <rPr>
        <sz val="11"/>
        <color theme="1"/>
        <rFont val="Calibri"/>
        <family val="2"/>
        <scheme val="minor"/>
      </rPr>
      <t>) from recently announced national commitments.</t>
    </r>
  </si>
  <si>
    <t>Colombia</t>
  </si>
  <si>
    <t>Marine policy (2013)</t>
  </si>
  <si>
    <t>Our Oceans 2016 commitment</t>
  </si>
  <si>
    <t>Country or Area</t>
  </si>
  <si>
    <r>
      <t>Priority Actions (km</t>
    </r>
    <r>
      <rPr>
        <b/>
        <vertAlign val="superscript"/>
        <sz val="11"/>
        <color indexed="8"/>
        <rFont val="Calibri"/>
        <family val="2"/>
      </rPr>
      <t>2</t>
    </r>
    <r>
      <rPr>
        <b/>
        <sz val="11"/>
        <color indexed="8"/>
        <rFont val="Calibri"/>
        <family val="2"/>
      </rPr>
      <t>)</t>
    </r>
  </si>
  <si>
    <r>
      <t>Approved GEF projects (km</t>
    </r>
    <r>
      <rPr>
        <b/>
        <vertAlign val="superscript"/>
        <sz val="11"/>
        <color indexed="8"/>
        <rFont val="Calibri"/>
        <family val="2"/>
      </rPr>
      <t>2</t>
    </r>
    <r>
      <rPr>
        <b/>
        <sz val="11"/>
        <color indexed="8"/>
        <rFont val="Calibri"/>
        <family val="2"/>
      </rPr>
      <t>)</t>
    </r>
  </si>
  <si>
    <r>
      <t>Ocean Conference Voluntary Commitments (km</t>
    </r>
    <r>
      <rPr>
        <b/>
        <vertAlign val="superscript"/>
        <sz val="11"/>
        <color indexed="8"/>
        <rFont val="Calibri"/>
        <family val="2"/>
      </rPr>
      <t>2</t>
    </r>
    <r>
      <rPr>
        <b/>
        <sz val="11"/>
        <color indexed="8"/>
        <rFont val="Calibri"/>
        <family val="2"/>
      </rPr>
      <t>)</t>
    </r>
  </si>
  <si>
    <t>Other Commitment</t>
  </si>
  <si>
    <t>notes/comments</t>
  </si>
  <si>
    <t>N/A</t>
  </si>
  <si>
    <t>62-63</t>
  </si>
  <si>
    <t>11/93</t>
  </si>
  <si>
    <t>9 659 km2 (7.86% of the territory) of new protected areas created under the 2016-2020 action plan</t>
  </si>
  <si>
    <t>Algeria</t>
  </si>
  <si>
    <t>American Samoa</t>
  </si>
  <si>
    <t>Angola</t>
  </si>
  <si>
    <t>Anguilla</t>
  </si>
  <si>
    <t>Antarctica</t>
  </si>
  <si>
    <t>Aruba</t>
  </si>
  <si>
    <t>Australia</t>
  </si>
  <si>
    <t>Barbados</t>
  </si>
  <si>
    <t>Bermuda</t>
  </si>
  <si>
    <t>Bonaire, Sint Eustatius and Saba</t>
  </si>
  <si>
    <t>Bosnia and Herzegovina</t>
  </si>
  <si>
    <t>Bouvet Island</t>
  </si>
  <si>
    <t>British Indian Ocean Territory</t>
  </si>
  <si>
    <t>Brunei Darussalam</t>
  </si>
  <si>
    <t>Bulgaria</t>
  </si>
  <si>
    <t>Cabo Verde</t>
  </si>
  <si>
    <t>Cayman Islands</t>
  </si>
  <si>
    <t>Christmas Island</t>
  </si>
  <si>
    <t>Cocos (Keeling) Islands</t>
  </si>
  <si>
    <t>Côte d'Ivoire</t>
  </si>
  <si>
    <t>Croatia</t>
  </si>
  <si>
    <t>Curaçao</t>
  </si>
  <si>
    <t>Cyprus</t>
  </si>
  <si>
    <t>Democratic People's Republic of Korea</t>
  </si>
  <si>
    <t>Democratic Republic of the Congo</t>
  </si>
  <si>
    <t>Denmark</t>
  </si>
  <si>
    <t>Egypt</t>
  </si>
  <si>
    <t>Equatorial Guinea</t>
  </si>
  <si>
    <t>Estonia</t>
  </si>
  <si>
    <t>Falkland Islands (Malvinas)</t>
  </si>
  <si>
    <t>Faroe Islands</t>
  </si>
  <si>
    <t>France</t>
  </si>
  <si>
    <t>French Guiana</t>
  </si>
  <si>
    <t>French Southern and Antarctic Territories</t>
  </si>
  <si>
    <t>Gambia</t>
  </si>
  <si>
    <t>Germany</t>
  </si>
  <si>
    <t>Ghana</t>
  </si>
  <si>
    <t>Gibraltar</t>
  </si>
  <si>
    <t>Greece</t>
  </si>
  <si>
    <t>Greenland</t>
  </si>
  <si>
    <t>Guadeloupe</t>
  </si>
  <si>
    <t>Guernsey</t>
  </si>
  <si>
    <t>Guinea-Bissau</t>
  </si>
  <si>
    <t>Guyana</t>
  </si>
  <si>
    <t>Heard Island and McDonald Islands</t>
  </si>
  <si>
    <t>Iceland</t>
  </si>
  <si>
    <t>Iran (Islamic Republic of)</t>
  </si>
  <si>
    <t>Iraq</t>
  </si>
  <si>
    <t>Ireland</t>
  </si>
  <si>
    <t>Israel</t>
  </si>
  <si>
    <t>Italy</t>
  </si>
  <si>
    <t>Jersey</t>
  </si>
  <si>
    <t>Kazakhstan</t>
  </si>
  <si>
    <t>Kenya</t>
  </si>
  <si>
    <t>Latvia</t>
  </si>
  <si>
    <t>Libya</t>
  </si>
  <si>
    <t>Lithuania</t>
  </si>
  <si>
    <t>Malaysia</t>
  </si>
  <si>
    <t>Maldives</t>
  </si>
  <si>
    <t>Malta</t>
  </si>
  <si>
    <t>Martinique</t>
  </si>
  <si>
    <t>Mauritania</t>
  </si>
  <si>
    <t>Mauritius</t>
  </si>
  <si>
    <t>Mayotte</t>
  </si>
  <si>
    <t>Micronesia (Federated States of)</t>
  </si>
  <si>
    <t>Monaco</t>
  </si>
  <si>
    <t>Montserrat</t>
  </si>
  <si>
    <t>Mozambique</t>
  </si>
  <si>
    <t>Namibia</t>
  </si>
  <si>
    <t>Nauru</t>
  </si>
  <si>
    <t>Netherlands</t>
  </si>
  <si>
    <t>New Caledonia</t>
  </si>
  <si>
    <t>Nicaragua</t>
  </si>
  <si>
    <t>Nigeria</t>
  </si>
  <si>
    <t>Niue</t>
  </si>
  <si>
    <t>Norfolk Island</t>
  </si>
  <si>
    <t>Northern Mariana Islands</t>
  </si>
  <si>
    <t>Norway</t>
  </si>
  <si>
    <t>Oman</t>
  </si>
  <si>
    <t>Palau</t>
  </si>
  <si>
    <t>Panama</t>
  </si>
  <si>
    <t>Pitcairn</t>
  </si>
  <si>
    <t>Poland</t>
  </si>
  <si>
    <t>Portugal</t>
  </si>
  <si>
    <t>Puerto Rico</t>
  </si>
  <si>
    <t>Qatar</t>
  </si>
  <si>
    <t>Réunion</t>
  </si>
  <si>
    <t>Romania</t>
  </si>
  <si>
    <t>Saint Barthélemy</t>
  </si>
  <si>
    <t>Saint Helena</t>
  </si>
  <si>
    <t>Saint Kitts and Nevis</t>
  </si>
  <si>
    <t>Saint Lucia</t>
  </si>
  <si>
    <t>Saint Martin (French Part)</t>
  </si>
  <si>
    <t>Saint Pierre and Miquelon</t>
  </si>
  <si>
    <t>Saint Vincent and the Grenadines</t>
  </si>
  <si>
    <t>Sao Tome and Principe</t>
  </si>
  <si>
    <t>Singapore</t>
  </si>
  <si>
    <t>Sint Maarten (Dutch part)</t>
  </si>
  <si>
    <t>Slovenia</t>
  </si>
  <si>
    <t>Somalia</t>
  </si>
  <si>
    <t>South Georgia and the South Sandwich Islands</t>
  </si>
  <si>
    <t>Spain</t>
  </si>
  <si>
    <t>Suriname</t>
  </si>
  <si>
    <t>Svalbard and Jan Mayen Islands</t>
  </si>
  <si>
    <t>Syrian Arab Republic</t>
  </si>
  <si>
    <t>Taiwan</t>
  </si>
  <si>
    <t>Thailand</t>
  </si>
  <si>
    <t>Timor-Leste</t>
  </si>
  <si>
    <t>Tokelau</t>
  </si>
  <si>
    <t>Trinidad and Tobago</t>
  </si>
  <si>
    <t>Tunisia</t>
  </si>
  <si>
    <t>Turkey</t>
  </si>
  <si>
    <t>Turkmenistan</t>
  </si>
  <si>
    <t>Turks and Caicos Islands</t>
  </si>
  <si>
    <t>United Kingdom of Great Britain and Northern Ireland</t>
  </si>
  <si>
    <t>United States Minor Outlying Islands</t>
  </si>
  <si>
    <t>United States of America</t>
  </si>
  <si>
    <t>United States Virgin Islands</t>
  </si>
  <si>
    <t>Venezuela (Bolivarian Republic of)</t>
  </si>
  <si>
    <t>Wallis and Futuna Islands</t>
  </si>
  <si>
    <t>Western Sahara</t>
  </si>
  <si>
    <t>Yemen</t>
  </si>
  <si>
    <r>
      <t>Total Area of National Waters (km</t>
    </r>
    <r>
      <rPr>
        <b/>
        <vertAlign val="superscript"/>
        <sz val="11"/>
        <color indexed="8"/>
        <rFont val="Calibri"/>
        <family val="2"/>
        <scheme val="minor"/>
      </rPr>
      <t>2</t>
    </r>
    <r>
      <rPr>
        <b/>
        <sz val="11"/>
        <color indexed="8"/>
        <rFont val="Calibri"/>
        <family val="2"/>
        <scheme val="minor"/>
      </rPr>
      <t>)</t>
    </r>
  </si>
  <si>
    <t>NBSAP target (%) for 2020</t>
  </si>
  <si>
    <r>
      <t xml:space="preserve">Added by 2019 and 2020, respectively (area for Ascension </t>
    </r>
    <r>
      <rPr>
        <b/>
        <sz val="10"/>
        <color indexed="8"/>
        <rFont val="Calibri"/>
        <family val="2"/>
      </rPr>
      <t xml:space="preserve">220,000 </t>
    </r>
    <r>
      <rPr>
        <sz val="10"/>
        <color indexed="8"/>
        <rFont val="Calibri"/>
        <family val="2"/>
      </rPr>
      <t>as per communication with CBD PoWPA focal point 05/18/17)</t>
    </r>
  </si>
  <si>
    <t>Ocean Conference Action and GEF-5 project (1,268km2)</t>
  </si>
  <si>
    <t>National Priority Action and GEF-5 project (1,044 km2)</t>
  </si>
  <si>
    <t>National Priority Action (1,552km2)</t>
  </si>
  <si>
    <t>Other Priority Actions including an increase in MPA cover - extent was not specified</t>
  </si>
  <si>
    <t>Marine conservation expanded to 15% of coastline (1200 ha)</t>
  </si>
  <si>
    <t>*nearshore area assumed to include all territorial waters (out to 12nm)</t>
  </si>
  <si>
    <r>
      <t>PA cover (km</t>
    </r>
    <r>
      <rPr>
        <b/>
        <vertAlign val="superscript"/>
        <sz val="11"/>
        <color indexed="8"/>
        <rFont val="Calibri"/>
        <family val="2"/>
        <scheme val="minor"/>
      </rPr>
      <t>2</t>
    </r>
    <r>
      <rPr>
        <b/>
        <sz val="11"/>
        <color indexed="8"/>
        <rFont val="Calibri"/>
        <family val="2"/>
        <scheme val="minor"/>
      </rPr>
      <t>) from June 2017 WDPA</t>
    </r>
  </si>
  <si>
    <t>Restore 8500 ha coastal wetlands, the area of MPA accounts for no lower than 5% of the sea under Chinas jurisdiction.</t>
  </si>
  <si>
    <t>#OceanAction17134</t>
  </si>
  <si>
    <t>ABNJ (Area beyond national jurisdiction)</t>
  </si>
  <si>
    <t xml:space="preserve">Area being added in both Timor-Leste and Indonesia </t>
  </si>
  <si>
    <r>
      <t>NBSAP - area (km</t>
    </r>
    <r>
      <rPr>
        <b/>
        <vertAlign val="superscript"/>
        <sz val="11"/>
        <color theme="1"/>
        <rFont val="Calibri"/>
        <family val="2"/>
        <scheme val="minor"/>
      </rPr>
      <t>2</t>
    </r>
    <r>
      <rPr>
        <b/>
        <sz val="11"/>
        <color theme="1"/>
        <rFont val="Calibri"/>
        <family val="2"/>
        <scheme val="minor"/>
      </rPr>
      <t xml:space="preserve">) needed to reach </t>
    </r>
    <r>
      <rPr>
        <b/>
        <sz val="11"/>
        <color indexed="8"/>
        <rFont val="Calibri"/>
        <family val="2"/>
      </rPr>
      <t>target by 2020</t>
    </r>
  </si>
  <si>
    <r>
      <t>Net contribution (km</t>
    </r>
    <r>
      <rPr>
        <b/>
        <vertAlign val="superscript"/>
        <sz val="11"/>
        <color theme="1"/>
        <rFont val="Calibri"/>
        <family val="2"/>
        <scheme val="minor"/>
      </rPr>
      <t>2</t>
    </r>
    <r>
      <rPr>
        <b/>
        <sz val="11"/>
        <color theme="1"/>
        <rFont val="Calibri"/>
        <family val="2"/>
        <scheme val="minor"/>
      </rPr>
      <t>) from NBSAP target (removing other commitments</t>
    </r>
  </si>
  <si>
    <t>Net National Commitments</t>
  </si>
  <si>
    <r>
      <t>Other proposed  large MPAs (km</t>
    </r>
    <r>
      <rPr>
        <b/>
        <vertAlign val="superscript"/>
        <sz val="11"/>
        <color indexed="8"/>
        <rFont val="Calibri"/>
        <family val="2"/>
      </rPr>
      <t>2</t>
    </r>
    <r>
      <rPr>
        <b/>
        <sz val="11"/>
        <color indexed="8"/>
        <rFont val="Calibri"/>
        <family val="2"/>
      </rPr>
      <t>)</t>
    </r>
  </si>
  <si>
    <r>
      <t>Nearshore (up to 12nm) area is 4658km</t>
    </r>
    <r>
      <rPr>
        <vertAlign val="superscript"/>
        <sz val="10"/>
        <color theme="1"/>
        <rFont val="Calibri"/>
        <family val="2"/>
        <scheme val="minor"/>
      </rPr>
      <t>2</t>
    </r>
    <r>
      <rPr>
        <sz val="10"/>
        <color theme="1"/>
        <rFont val="Calibri"/>
        <family val="2"/>
        <scheme val="minor"/>
      </rPr>
      <t xml:space="preserve"> (11km</t>
    </r>
    <r>
      <rPr>
        <vertAlign val="superscript"/>
        <sz val="10"/>
        <color theme="1"/>
        <rFont val="Calibri"/>
        <family val="2"/>
        <scheme val="minor"/>
      </rPr>
      <t>2</t>
    </r>
    <r>
      <rPr>
        <sz val="10"/>
        <color theme="1"/>
        <rFont val="Calibri"/>
        <family val="2"/>
        <scheme val="minor"/>
      </rPr>
      <t xml:space="preserve"> already protected)</t>
    </r>
  </si>
  <si>
    <t>***Names of territories included in this document do not imply endorsement or acceptance by the United Nations.</t>
  </si>
  <si>
    <r>
      <t xml:space="preserve">The </t>
    </r>
    <r>
      <rPr>
        <b/>
        <sz val="11"/>
        <color indexed="8"/>
        <rFont val="Calibri"/>
        <family val="2"/>
      </rPr>
      <t>Micronesia Challenge</t>
    </r>
    <r>
      <rPr>
        <sz val="11"/>
        <color theme="1"/>
        <rFont val="Calibri"/>
        <family val="2"/>
        <scheme val="minor"/>
      </rPr>
      <t xml:space="preserve"> is a commitment by five Micronesian territories to effectively conserve at least 30% of their near-shore marine resources Micronesia by 2020 (see: http://themicronesiachallenge.blogspot.ca/p/about.html), while the </t>
    </r>
    <r>
      <rPr>
        <b/>
        <sz val="11"/>
        <color indexed="8"/>
        <rFont val="Calibri"/>
        <family val="2"/>
      </rPr>
      <t>Caribbean Challenge Initiative</t>
    </r>
    <r>
      <rPr>
        <sz val="11"/>
        <color theme="1"/>
        <rFont val="Calibri"/>
        <family val="2"/>
        <scheme val="minor"/>
      </rPr>
      <t>, involving nine Caribbean governments, aims to effectively conserve and manage at least 20 percent of the marine and coastal environment by 2020 (see: http://caribbeanchallengeinitiative.org/index.php?option=com_content&amp;view=article&amp;id=404&amp;Itemid=250#.WSiAn-vyvcs).</t>
    </r>
  </si>
  <si>
    <t>UNDP project</t>
  </si>
  <si>
    <t xml:space="preserve">Government of Montserrat commits to protecting 10% to 30% of its marine environment as a no-take marine reserve </t>
  </si>
  <si>
    <t>#OceanAction18142</t>
  </si>
  <si>
    <t>Used 10% as a minimum protected</t>
  </si>
  <si>
    <t xml:space="preserve">MPA in the Weddell-Sea, Antarctica - The German proposal refers to an area of around 1.8 million square kilometers. It would be the world's largest marine protected area. </t>
  </si>
  <si>
    <t xml:space="preserve">Portugal </t>
  </si>
  <si>
    <t>Protect at least 14% of coastal and marine areas under portuguese jurisdiction</t>
  </si>
  <si>
    <t>#OceanAction18172</t>
  </si>
  <si>
    <t xml:space="preserve">Proclaiming 7,000 sq.km. of protected areas in 5 years </t>
  </si>
  <si>
    <t>#OceanAction18211</t>
  </si>
  <si>
    <t>#OceanAction18379</t>
  </si>
  <si>
    <t>Designation of Anguniaqvia Niqiqyuam MPA. The MPA will contribute to Canadas Western Arctic bioregion network of marine protected areas and Canadas overall marine conservation targets by increasing protection in Canadian waters by 0.04%.</t>
  </si>
  <si>
    <t>#OceanAction19138</t>
  </si>
  <si>
    <t>Designation of the Hecate Strait and Queen Charlotte Sound Glass Sponge Reefs Marine Protected Area</t>
  </si>
  <si>
    <t>#OceanAction19158</t>
  </si>
  <si>
    <t>#OceanAction19899</t>
  </si>
  <si>
    <t xml:space="preserve">Increase marine protected area coverage by an additional 1000 km2 including 15 shipwrecks </t>
  </si>
  <si>
    <t>Extension of the Sanctuary of Fauna and Flora Malpelo &amp; New area protected to the west of the Sanctuary of Fauna and Flora Malpelo and new MPAs in the South Pacific (2017); Conservation of at least 13% of Colombia's marine areas</t>
  </si>
  <si>
    <t>#OceanAction20269</t>
  </si>
  <si>
    <t>St. Anns Bank Oceans Act Marine Protected Area (MPA) provides protection from the impacts of human activities, adding an additional 0.08% (4 364 km2) of protection to Canadas oceans</t>
  </si>
  <si>
    <t>#OceanAction20492</t>
  </si>
  <si>
    <t>Announcement of other effective area based conservation measures that contribute to Canadas marine conservation targets (26,000km2)</t>
  </si>
  <si>
    <t>#OceanAction20772</t>
  </si>
  <si>
    <t>6.4.1 Extent of MPAs enlarged by 2% in coastal areas.</t>
  </si>
  <si>
    <t>add 2%</t>
  </si>
  <si>
    <t>Declaration of the Pedro Cays and surrounding waters and the Black River landscape/seascape as marine protected areas under the Natural Resources Conservation Authority Act (approximately 8,040 km2)</t>
  </si>
  <si>
    <t>#OceanAction21136</t>
  </si>
  <si>
    <t>Ocean Conference Action and NBSAP target (of 10%)</t>
  </si>
  <si>
    <t xml:space="preserve">Designation of 10% to 30% of Tonga waters as no-take marine reserves </t>
  </si>
  <si>
    <t>#OceanAction21256</t>
  </si>
  <si>
    <t>30% MPAs within Tongan waters (includes community-based marine managed areas &amp; 10% no-take - see #21256)</t>
  </si>
  <si>
    <t>Increase the total area designated for conservation to 10% of the islands in Tuvalu</t>
  </si>
  <si>
    <t>4.3 million ha of marine conservation established by Dec 2019</t>
  </si>
  <si>
    <t>#OceanAction18259</t>
  </si>
  <si>
    <t>removed 22,333km2 GEF project</t>
  </si>
  <si>
    <t>Milestone 1: Protect 15% (June '18); Milestone 2: Protect an additional 7.5% (Dec '18); Milestone 3: Protect an additional 7.5%</t>
  </si>
  <si>
    <t>#OceanAction19023</t>
  </si>
  <si>
    <t>Also see ocean action #17923 and #19018</t>
  </si>
  <si>
    <t xml:space="preserve">To amend title 24 of the Code of the Federated States of Micronesia, by inserting a new section 505, that declares as a closed area, the twelve mile area seaward of the territorial sea, not to extend beyond twenty-four nautical miles from the baseline </t>
  </si>
  <si>
    <t>#OceanAction16676</t>
  </si>
  <si>
    <t>#OceanAction20294</t>
  </si>
  <si>
    <t>#OceanAction21468</t>
  </si>
  <si>
    <t>Includes 20% of Tongan waters - other 10% under #OceanAction21256</t>
  </si>
  <si>
    <t>#OceanAction21472</t>
  </si>
  <si>
    <t>183,250*</t>
  </si>
  <si>
    <t>4,795,261*</t>
  </si>
  <si>
    <t>401,756*</t>
  </si>
  <si>
    <t>Ascension and Tristan de Cunha (UK)</t>
  </si>
  <si>
    <t xml:space="preserve">Entire EEZ of Easter Island (723,287.5km2) designated a  multiple-use MPA [subtracting 150,4455.1km2 for the existing Motu Motiro Hiva Marine Park already designated within the EEZ], plus Juan Fernandez MPA (12,109km2) </t>
  </si>
  <si>
    <t>Republic of the Marshall Islands (305.5 km2)</t>
  </si>
  <si>
    <t>PA cover (%) June 2017</t>
  </si>
  <si>
    <t xml:space="preserve">**The total extent of national waters is taken from the June 2017 release of the WDPA, except for the EEZ area of sub-national regions (Easter Island, Gilbert and Line Islands), as well as territorial waters and contiguous zones which are taken from Flanders Marine Institute (VLIZ, 2014 and 2016). EEZ v8, territorial waters and contiguous zone v1. Available online at http://www.marineregions.org/.  </t>
  </si>
  <si>
    <t>Other Large MPA proposals</t>
  </si>
  <si>
    <r>
      <t>National priority actions</t>
    </r>
    <r>
      <rPr>
        <sz val="11"/>
        <color indexed="8"/>
        <rFont val="Calibri"/>
        <family val="2"/>
      </rPr>
      <t xml:space="preserve"> were provided by Parties to the Convention through a series of regional capacity-building workshops carried out in 2015 and 2016; these workshops covered all developing country regions.   Those actions which have been completed and are accounted for in the June 2017 release of the WDPA are not included.  Priority actions and opportunities for improving the status or Aichi Biodiversity Target 11 are provided in the annexes of the regional workshop reports.  Workshop reports for East and South East Asia, Latin American and the Caribbean, South, Central and West Asia, and Africa are available online.</t>
    </r>
  </si>
  <si>
    <r>
      <t xml:space="preserve">Projects from the fifth and sixth replenishment of the </t>
    </r>
    <r>
      <rPr>
        <b/>
        <sz val="11"/>
        <color theme="1"/>
        <rFont val="Calibri"/>
        <family val="2"/>
        <scheme val="minor"/>
      </rPr>
      <t>Global Environment Facility (GEF-5 and GEF-6)</t>
    </r>
    <r>
      <rPr>
        <sz val="11"/>
        <color theme="1"/>
        <rFont val="Calibri"/>
        <family val="2"/>
        <scheme val="minor"/>
      </rPr>
      <t xml:space="preserve"> containing some increase in marine protected area coverage; only those projects with a status of ‘project approved’ or ‘concept approved’ were considered.  GEF projects which are included in Parties' national priority actions are not included.  All projects can be found online at: https://www.thegef.org/projects, while individual projects can be accessed following the hyperlink on the GEF projects tab.</t>
    </r>
  </si>
  <si>
    <r>
      <t xml:space="preserve">Protected area targets from post-COP10 </t>
    </r>
    <r>
      <rPr>
        <b/>
        <sz val="11"/>
        <color theme="1"/>
        <rFont val="Calibri"/>
        <family val="2"/>
        <scheme val="minor"/>
      </rPr>
      <t>National Biodiversity Strategies and Action Plans (NBSAPs)</t>
    </r>
    <r>
      <rPr>
        <sz val="11"/>
        <color theme="1"/>
        <rFont val="Calibri"/>
        <family val="2"/>
        <scheme val="minor"/>
      </rPr>
      <t xml:space="preserve"> are included, as is the additional area that will need to be added to meet these targets, removing protected areas being added through any of the above commitments.  Targets submitted by Parties with a deadline later than 2020, or those that did not differentiate terrestrial and marine targets are not included.  All NBSAPs can be found online at: https://www.cbd.int/nbsap/, while individual NBSAPs can be accessed following the hyperlink on the NBSAPs tab.</t>
    </r>
  </si>
  <si>
    <t>Addition in national waters (%)</t>
  </si>
  <si>
    <t>National priority actions</t>
  </si>
  <si>
    <r>
      <t xml:space="preserve">Approved </t>
    </r>
    <r>
      <rPr>
        <sz val="11"/>
        <color indexed="8"/>
        <rFont val="Calibri"/>
        <family val="2"/>
      </rPr>
      <t xml:space="preserve">GEF-5 and GEF-6 projects </t>
    </r>
  </si>
  <si>
    <r>
      <t xml:space="preserve">Voluntary commitments from </t>
    </r>
    <r>
      <rPr>
        <sz val="11"/>
        <color indexed="8"/>
        <rFont val="Calibri"/>
        <family val="2"/>
      </rPr>
      <t>UN Ocean Conference</t>
    </r>
  </si>
  <si>
    <t>Protected area targets in post-COP10 NBSAPs</t>
  </si>
  <si>
    <t>TOTAL additions:</t>
  </si>
  <si>
    <t>Estimated total in 2020: current + commitments</t>
  </si>
  <si>
    <t>Addition in  global ocean (%)</t>
  </si>
  <si>
    <t>Workshop reports for East And South-East Asia, Latin American and the Caribbean, South, Central and West Asia, and Africa are available online (priority actions and opportunities for improving the status or Aichi Biodiversity Target 11 are provided in the annexes of the regional workshop reports).</t>
  </si>
  <si>
    <t>Marine and Coastal Protected Area coverage will be expanded from 3.28% (3968 sq km) to about 7% (8500 sq km) by declaring rest of the Sundarbans (IUCN category VI) under Protected Area network (4532 sq km increase)</t>
  </si>
  <si>
    <r>
      <t xml:space="preserve">17.5 million ha project </t>
    </r>
    <r>
      <rPr>
        <sz val="10"/>
        <color indexed="8"/>
        <rFont val="Calibri"/>
        <family val="2"/>
      </rPr>
      <t>under GEF</t>
    </r>
  </si>
  <si>
    <t xml:space="preserve">Operationalized protected area system on three selected areas that cover a total of 10,098.6km2 will be established - including two Marine PAs with 3,605.94 km2 </t>
  </si>
  <si>
    <r>
      <t>Increase marine protection</t>
    </r>
    <r>
      <rPr>
        <sz val="10"/>
        <color indexed="8"/>
        <rFont val="Calibri"/>
        <family val="2"/>
      </rPr>
      <t xml:space="preserve"> by 1.4% (2016-2020)</t>
    </r>
  </si>
  <si>
    <r>
      <t xml:space="preserve">Increase the number of submission of areas for official PA designation / and increase in </t>
    </r>
    <r>
      <rPr>
        <sz val="10"/>
        <color indexed="8"/>
        <rFont val="Calibri"/>
        <family val="2"/>
      </rPr>
      <t>marine ecosystem representation of 3% (10,973 km2)</t>
    </r>
  </si>
  <si>
    <r>
      <t xml:space="preserve">New marine PAs in next five years will </t>
    </r>
    <r>
      <rPr>
        <sz val="10"/>
        <color indexed="8"/>
        <rFont val="Calibri"/>
        <family val="2"/>
      </rPr>
      <t>reach 5% protection level.</t>
    </r>
  </si>
  <si>
    <r>
      <t>Enhancing Coastal and Marine PAs coverage</t>
    </r>
    <r>
      <rPr>
        <sz val="10"/>
        <color indexed="8"/>
        <rFont val="Calibri"/>
        <family val="2"/>
      </rPr>
      <t xml:space="preserve"> by 5000 Km2.</t>
    </r>
  </si>
  <si>
    <r>
      <t>By 2020, Lebanon will achieve the 11th Aichi target by having</t>
    </r>
    <r>
      <rPr>
        <sz val="10"/>
        <color indexed="8"/>
        <rFont val="Calibri"/>
        <family val="2"/>
      </rPr>
      <t xml:space="preserve"> 10% as marine protected areas by: 
1. Finalizing the designation of 2 marine protected areas and starting their official work.</t>
    </r>
  </si>
  <si>
    <r>
      <t xml:space="preserve">Ensure </t>
    </r>
    <r>
      <rPr>
        <sz val="10"/>
        <color indexed="8"/>
        <rFont val="Calibri"/>
        <family val="2"/>
      </rPr>
      <t>5-7% coastal and marine landscapes are protected - especially as protected areas</t>
    </r>
  </si>
  <si>
    <r>
      <t xml:space="preserve">Develop and implement, on a phased basis, the process to Protected Area designation, ensuring enforcement of the relevant legislation - (Goal of protecting a total of </t>
    </r>
    <r>
      <rPr>
        <sz val="10"/>
        <color indexed="8"/>
        <rFont val="Calibri"/>
        <family val="2"/>
      </rPr>
      <t>20% of near shore and coastal waters)</t>
    </r>
  </si>
  <si>
    <r>
      <t xml:space="preserve">To increase the percentage of coverage by the declaration of new PA's , with a </t>
    </r>
    <r>
      <rPr>
        <sz val="10"/>
        <color indexed="8"/>
        <rFont val="Calibri"/>
        <family val="2"/>
      </rPr>
      <t>target of 14% for marine and coastal protected areas</t>
    </r>
  </si>
  <si>
    <t xml:space="preserve">Dedicating its entire Exclusive Economic Zone, an area of ~1.9 million square kilometres to protection, conservation and integrated management.  </t>
  </si>
  <si>
    <t>Federated States of Micronesia (183,250 km2)</t>
  </si>
  <si>
    <r>
      <t xml:space="preserve">By 2020, </t>
    </r>
    <r>
      <rPr>
        <sz val="10"/>
        <color indexed="8"/>
        <rFont val="Calibri"/>
        <family val="2"/>
      </rPr>
      <t xml:space="preserve">2% of marine waters will be protected through the National System of Protected Areas (SNAP) and other area-based conservation measures </t>
    </r>
  </si>
  <si>
    <r>
      <t xml:space="preserve">Conserve </t>
    </r>
    <r>
      <rPr>
        <sz val="10"/>
        <color indexed="8"/>
        <rFont val="Calibri"/>
        <family val="2"/>
      </rPr>
      <t>at least 10% coastal and marine area</t>
    </r>
  </si>
  <si>
    <r>
      <t xml:space="preserve">Legally designate the Narrows Marine Management Area (NMMA): Outcome = </t>
    </r>
    <r>
      <rPr>
        <sz val="10"/>
        <color indexed="8"/>
        <rFont val="Calibri"/>
        <family val="2"/>
      </rPr>
      <t>Marine area to reach 10%</t>
    </r>
  </si>
  <si>
    <t>Proposed protected areas (managed by SWA or partner agencies) totaling 11,614.33 sq km in MPAs</t>
  </si>
  <si>
    <t>5% taken as minimum covergae target</t>
  </si>
  <si>
    <t>Goal 1 = Increase the area of coastal and marine PAs, expanding 3 and creating 2 new areas for the Pacific (one of which is a EBSA which is related to the important areas for ecosystem services), which would significantly increase the area in marine-coastal ecosystems of the Pacific coast 7,042.44 to 164,297.40 hectares ecosystems.</t>
  </si>
  <si>
    <r>
      <t xml:space="preserve">By 2020, </t>
    </r>
    <r>
      <rPr>
        <sz val="10"/>
        <color indexed="8"/>
        <rFont val="Calibri"/>
        <family val="2"/>
      </rPr>
      <t xml:space="preserve">3 PAs will be created </t>
    </r>
  </si>
  <si>
    <t>Actions Identified in the Workshops, which have been completed and are accounted for in the WDPA (June 2017)</t>
  </si>
  <si>
    <r>
      <t xml:space="preserve">Creation of 5 new marine protected areas, more than </t>
    </r>
    <r>
      <rPr>
        <sz val="10"/>
        <color indexed="8"/>
        <rFont val="Calibri"/>
        <family val="2"/>
      </rPr>
      <t>30 million hectares</t>
    </r>
  </si>
  <si>
    <r>
      <t>3 marine areas planned - to cover about</t>
    </r>
    <r>
      <rPr>
        <sz val="10"/>
        <color indexed="8"/>
        <rFont val="Calibri"/>
        <family val="2"/>
      </rPr>
      <t xml:space="preserve"> 2000 km2 (currently marine areas covers 3033 km2 which is 0.16 % of Sudan area but equivalent 33% from Sudan marine territory)</t>
    </r>
  </si>
  <si>
    <r>
      <t xml:space="preserve">Ensuring that the area of marine protected areas account for </t>
    </r>
    <r>
      <rPr>
        <sz val="10"/>
        <color indexed="8"/>
        <rFont val="Calibri"/>
        <family val="2"/>
      </rPr>
      <t>0.24% of the sea area</t>
    </r>
  </si>
  <si>
    <r>
      <t>Area to be added (km</t>
    </r>
    <r>
      <rPr>
        <b/>
        <vertAlign val="superscript"/>
        <sz val="11"/>
        <color theme="1"/>
        <rFont val="Calibri"/>
        <family val="2"/>
        <scheme val="minor"/>
      </rPr>
      <t>2</t>
    </r>
    <r>
      <rPr>
        <b/>
        <sz val="11"/>
        <color theme="1"/>
        <rFont val="Calibri"/>
        <family val="2"/>
        <scheme val="minor"/>
      </rPr>
      <t>)</t>
    </r>
  </si>
  <si>
    <t>Link to Ocean Action</t>
  </si>
  <si>
    <t>Timor-Leste/Indonesia</t>
  </si>
  <si>
    <t>Entire area of contiguous zone (183250.4184)</t>
  </si>
  <si>
    <t>Aiming to further expand our marine protected areas network … the coverage of marine protected areas in the territorial waters of Greece, will approximately raise up to a scale of 20%</t>
  </si>
  <si>
    <t>Create a Marine Managed Area at the size of the EEZ</t>
  </si>
  <si>
    <t>EEZ is 4,795,468.1 sq km, 207 sq km already protected.</t>
  </si>
  <si>
    <t>Total (ABNJ)</t>
  </si>
  <si>
    <t>Ocean Conference Voluntary Commitment</t>
  </si>
  <si>
    <t>NBSAP target</t>
  </si>
  <si>
    <r>
      <t>Increase (km</t>
    </r>
    <r>
      <rPr>
        <b/>
        <vertAlign val="superscript"/>
        <sz val="11"/>
        <rFont val="Calibri"/>
        <family val="2"/>
        <scheme val="minor"/>
      </rPr>
      <t>2</t>
    </r>
    <r>
      <rPr>
        <b/>
        <sz val="11"/>
        <rFont val="Calibri"/>
        <family val="2"/>
        <scheme val="minor"/>
      </rPr>
      <t>) needed to reach target (subtracting additions from other sources)</t>
    </r>
  </si>
  <si>
    <t>360,594 ha</t>
  </si>
  <si>
    <t>Commonwealth of the Northern Marianas Islands</t>
  </si>
  <si>
    <t>Total nearshore* area (0 - 12 nm)</t>
  </si>
  <si>
    <t>Remaining to reach 30% nearshore (removing other commitments)</t>
  </si>
  <si>
    <t>Total Marine Area (0-200nm)</t>
  </si>
  <si>
    <t>Remaining to reach 20% (after removing other commitments)</t>
  </si>
  <si>
    <t>Peurto Rico</t>
  </si>
  <si>
    <t>TOTAL additions from both Challenges:</t>
  </si>
  <si>
    <t>Designated in July 2017 - incroporated into August 2017 WDPA release</t>
  </si>
  <si>
    <r>
      <t>12-mile area seaward of the territorial sea under conservation measures (#OceanAction16676</t>
    </r>
    <r>
      <rPr>
        <b/>
        <sz val="10"/>
        <color indexed="8"/>
        <rFont val="Calibri"/>
        <family val="2"/>
      </rPr>
      <t>)</t>
    </r>
  </si>
  <si>
    <r>
      <t>coverage of new nearshore marine protected areas is increased by 30,550 ha (</t>
    </r>
    <r>
      <rPr>
        <sz val="10"/>
        <color indexed="8"/>
        <rFont val="Calibri"/>
        <family val="2"/>
      </rPr>
      <t>Ocean Action #15593</t>
    </r>
    <r>
      <rPr>
        <sz val="10"/>
        <color theme="1"/>
        <rFont val="Calibri"/>
        <family val="2"/>
        <scheme val="minor"/>
      </rPr>
      <t>)</t>
    </r>
  </si>
  <si>
    <r>
      <t>"</t>
    </r>
    <r>
      <rPr>
        <b/>
        <sz val="11"/>
        <color indexed="8"/>
        <rFont val="Calibri"/>
        <family val="2"/>
      </rPr>
      <t>Voluntary commitments</t>
    </r>
    <r>
      <rPr>
        <sz val="11"/>
        <color theme="1"/>
        <rFont val="Calibri"/>
        <family val="2"/>
        <scheme val="minor"/>
      </rPr>
      <t xml:space="preserve"> for </t>
    </r>
    <r>
      <rPr>
        <b/>
        <sz val="11"/>
        <color indexed="8"/>
        <rFont val="Calibri"/>
        <family val="2"/>
      </rPr>
      <t xml:space="preserve">The Ocean Conference </t>
    </r>
    <r>
      <rPr>
        <sz val="11"/>
        <color theme="1"/>
        <rFont val="Calibri"/>
        <family val="2"/>
        <scheme val="minor"/>
      </rPr>
      <t>are initiatives voluntarily undertaken by Governments, the United Nations system, other intergovernmental organizations, international and regional financial institutions, non-governmental organizations and civil society organizations, academic and research institutions, the scientific community, the private sector, philanthropic organizations and other actors - individually or in partnership - that aim to contribute to the implementation of Sustainable Development Goal 14". Voluntary commitments that include the intention to expand marine protected areas, yet do not clearly specify the extent are not included. See more online at: https://oceanconference.un.org/commitments/.</t>
    </r>
  </si>
  <si>
    <r>
      <t xml:space="preserve">A national network of terrestrial and marine protected areas will be created through a </t>
    </r>
    <r>
      <rPr>
        <sz val="10"/>
        <color indexed="8"/>
        <rFont val="Calibri"/>
        <family val="2"/>
      </rPr>
      <t>GEF / UNDP project, covering over 21% of marine territory</t>
    </r>
  </si>
  <si>
    <r>
      <t xml:space="preserve">In 2016 Tun Mustapha will be gazetted to </t>
    </r>
    <r>
      <rPr>
        <sz val="10"/>
        <rFont val="Calibri"/>
        <family val="2"/>
      </rPr>
      <t xml:space="preserve">cover 9000km2 </t>
    </r>
  </si>
  <si>
    <r>
      <t xml:space="preserve">Expansion of national PA estate to </t>
    </r>
    <r>
      <rPr>
        <sz val="10"/>
        <color indexed="8"/>
        <rFont val="Calibri"/>
        <family val="2"/>
      </rPr>
      <t xml:space="preserve">cover 26,744.1 km2 (excluding their watersheds)  marine KBAs thru UNDP-GEF’s  (Strengthening the Marine Protected Areas to Conserve Marine Key Biodiversity Areas in the Philippines) Program will increase the coverage and protection of the existing PAs </t>
    </r>
  </si>
  <si>
    <t>Action</t>
  </si>
  <si>
    <r>
      <t>Have a plan to</t>
    </r>
    <r>
      <rPr>
        <sz val="10"/>
        <color indexed="8"/>
        <rFont val="Calibri"/>
        <family val="2"/>
      </rPr>
      <t xml:space="preserve"> establish marine PA (No specific percentage as the national target for marine  )</t>
    </r>
  </si>
  <si>
    <t xml:space="preserve">To strengthen MPAs (specific actions include improving the number, area and percentage of marine and coastal NRs, strengthening the conservation of mangroves, coral reefs and other ecosystems) </t>
  </si>
  <si>
    <r>
      <t xml:space="preserve">Process in place to </t>
    </r>
    <r>
      <rPr>
        <sz val="10"/>
        <color indexed="8"/>
        <rFont val="Calibri"/>
        <family val="2"/>
      </rPr>
      <t xml:space="preserve">declare 2 -3 offshore marine protected areas (Offshore Fisheries Management Decree), in the Vatu-i-ra Seascape, Lau seascape and Great Sea Reef. Fisheries Department formally gazetted shark reefs and is looking at 4 more to be gazette under Section 9 of the Fisheries Act. </t>
    </r>
  </si>
  <si>
    <t>Nine proposed protected areas.</t>
  </si>
  <si>
    <t xml:space="preserve">Carry out an assessment of the coastal and marine sector and identify and designate the areas that need to be protected </t>
  </si>
  <si>
    <r>
      <t xml:space="preserve"> To successfully create 2 New projected marine PA (of 33,493,362 ha and 1,182,563 ha respectively) in order to increase to 10.98% of the marine territory of the country. --&gt;</t>
    </r>
    <r>
      <rPr>
        <sz val="10"/>
        <color indexed="8"/>
        <rFont val="Calibri"/>
        <family val="2"/>
      </rPr>
      <t xml:space="preserve"> </t>
    </r>
    <r>
      <rPr>
        <b/>
        <sz val="10"/>
        <color indexed="8"/>
        <rFont val="Calibri"/>
        <family val="2"/>
      </rPr>
      <t>increased to 64.7 mil ha at COP13</t>
    </r>
  </si>
  <si>
    <r>
      <t>Area (km</t>
    </r>
    <r>
      <rPr>
        <b/>
        <vertAlign val="superscript"/>
        <sz val="11"/>
        <color theme="1"/>
        <rFont val="Calibri"/>
        <family val="2"/>
        <scheme val="minor"/>
      </rPr>
      <t>2</t>
    </r>
    <r>
      <rPr>
        <b/>
        <sz val="11"/>
        <color theme="1"/>
        <rFont val="Calibri"/>
        <family val="2"/>
        <scheme val="minor"/>
      </rPr>
      <t>) to be added  within national waters</t>
    </r>
  </si>
  <si>
    <r>
      <t>Area (km</t>
    </r>
    <r>
      <rPr>
        <b/>
        <vertAlign val="superscript"/>
        <sz val="11"/>
        <color theme="1"/>
        <rFont val="Calibri"/>
        <family val="2"/>
        <scheme val="minor"/>
      </rPr>
      <t>2</t>
    </r>
    <r>
      <rPr>
        <b/>
        <sz val="11"/>
        <color theme="1"/>
        <rFont val="Calibri"/>
        <family val="2"/>
        <scheme val="minor"/>
      </rPr>
      <t>) to be added  in ABNJ</t>
    </r>
  </si>
  <si>
    <t xml:space="preserve">Creation of marine protected areas (addition of 29 MPAs since June 2017 - total of 54,340 km²) </t>
  </si>
  <si>
    <t>1,972,827*</t>
  </si>
  <si>
    <t>****It is requested that any additional information, is brought to the attention of the Secretariat of the Convention: sarat.gidda@cbd.int . While the Secretariat has carefully reviewed the data, any errors that may be identified should also be brought to the attention of the Secretariat.</t>
  </si>
  <si>
    <t>*Current status of marine protected area coverage at the national level is taken from UNEP-WCMC (2017) Global statistics from the World Database on Protected Areas (WDPA), June 2017. Cambridge, UK: UNEP- WCMC, except for Gabon and Cook Islands, where data is taken from the August 2017 WDPA release.  Global statistics are also derived from the August 2017 WDPA release.</t>
  </si>
  <si>
    <t>Current Status (August 2017)</t>
  </si>
  <si>
    <t>163.3 sq km added between 2015 workshop and June 2017</t>
  </si>
  <si>
    <t>879.7 sq km added between 2015 workshop and June 2017</t>
  </si>
  <si>
    <r>
      <t>Announced at the IUCN World Conservation Congress in 2016 its commitment to foster the creation of a marine managed area covering their entire economic exclusive zone by 2018; area and date confirmed with CBD National Focal point 05/22/17 -</t>
    </r>
    <r>
      <rPr>
        <b/>
        <sz val="10"/>
        <color theme="1"/>
        <rFont val="Calibri"/>
        <family val="2"/>
        <scheme val="minor"/>
      </rPr>
      <t xml:space="preserve"> included under #OceanAction20294</t>
    </r>
  </si>
  <si>
    <r>
      <t xml:space="preserve">12-mile area seaward of the territorial sea under conservation measures (Micronesia Challenge May newsletter - </t>
    </r>
    <r>
      <rPr>
        <sz val="10"/>
        <color indexed="8"/>
        <rFont val="Calibri"/>
        <family val="2"/>
      </rPr>
      <t xml:space="preserve">Congressional Act #19-176) </t>
    </r>
    <r>
      <rPr>
        <b/>
        <sz val="10"/>
        <color indexed="8"/>
        <rFont val="Calibri"/>
        <family val="2"/>
      </rPr>
      <t>- also #OceanAction16676</t>
    </r>
  </si>
  <si>
    <r>
      <t>MPAs covering 30% of its EEZ by 2020, as part of a comprehensive marine spatial plan for its entire EEZ via a debt swap of up to $27 million with its Paris Club creditors and the Government of South Africa, with the support of TNC Conservancy and private capital investors interested in marine conservation -</t>
    </r>
    <r>
      <rPr>
        <b/>
        <sz val="10"/>
        <color theme="1"/>
        <rFont val="Calibri"/>
        <family val="2"/>
        <scheme val="minor"/>
      </rPr>
      <t xml:space="preserve"> included under  #OceanAction17923 / #OceanAction19023 / #OceanAction19018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</si>
</sst>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7" x14ac:knownFonts="1">
    <font>
      <sz val="11"/>
      <color theme="1"/>
      <name val="Calibri"/>
      <family val="2"/>
      <scheme val="minor"/>
    </font>
    <font>
      <b/>
      <sz val="11"/>
      <color theme="1"/>
      <name val="Calibri"/>
      <family val="2"/>
      <scheme val="minor"/>
    </font>
    <font>
      <b/>
      <i/>
      <sz val="14"/>
      <color theme="1"/>
      <name val="Calibri"/>
      <family val="2"/>
      <scheme val="minor"/>
    </font>
    <font>
      <b/>
      <sz val="11"/>
      <color indexed="8"/>
      <name val="Calibri"/>
      <family val="2"/>
    </font>
    <font>
      <sz val="11"/>
      <color indexed="8"/>
      <name val="Calibri"/>
      <family val="2"/>
    </font>
    <font>
      <vertAlign val="superscript"/>
      <sz val="11"/>
      <color indexed="8"/>
      <name val="Calibri"/>
      <family val="2"/>
    </font>
    <font>
      <sz val="10"/>
      <color theme="1"/>
      <name val="Calibri"/>
      <family val="2"/>
      <scheme val="minor"/>
    </font>
    <font>
      <b/>
      <sz val="10"/>
      <color indexed="8"/>
      <name val="Calibri"/>
      <family val="2"/>
    </font>
    <font>
      <sz val="10"/>
      <color indexed="8"/>
      <name val="Calibri"/>
      <family val="2"/>
    </font>
    <font>
      <sz val="11"/>
      <name val="Calibri"/>
      <family val="2"/>
      <scheme val="minor"/>
    </font>
    <font>
      <sz val="10"/>
      <name val="Calibri"/>
      <family val="2"/>
      <scheme val="minor"/>
    </font>
    <font>
      <sz val="11"/>
      <color rgb="FF333333"/>
      <name val="Calibri"/>
      <family val="2"/>
    </font>
    <font>
      <b/>
      <i/>
      <sz val="11"/>
      <color theme="1"/>
      <name val="Calibri"/>
      <family val="2"/>
      <scheme val="minor"/>
    </font>
    <font>
      <sz val="9"/>
      <name val="Calibri"/>
      <family val="2"/>
      <scheme val="minor"/>
    </font>
    <font>
      <b/>
      <sz val="10"/>
      <color theme="1"/>
      <name val="Calibri"/>
      <family val="2"/>
      <scheme val="minor"/>
    </font>
    <font>
      <u/>
      <sz val="11"/>
      <color theme="10"/>
      <name val="Calibri"/>
      <family val="2"/>
      <scheme val="minor"/>
    </font>
    <font>
      <u/>
      <sz val="10"/>
      <color theme="10"/>
      <name val="Calibri"/>
      <family val="2"/>
      <scheme val="minor"/>
    </font>
    <font>
      <b/>
      <sz val="11"/>
      <name val="Calibri"/>
      <family val="2"/>
      <scheme val="minor"/>
    </font>
    <font>
      <b/>
      <sz val="11"/>
      <name val="Calibri"/>
      <family val="2"/>
    </font>
    <font>
      <sz val="11"/>
      <name val="Calibri"/>
      <family val="2"/>
    </font>
    <font>
      <i/>
      <sz val="11"/>
      <color theme="1"/>
      <name val="Calibri"/>
      <family val="2"/>
      <scheme val="minor"/>
    </font>
    <font>
      <b/>
      <sz val="11"/>
      <color rgb="FF000000"/>
      <name val="Calibri"/>
      <family val="2"/>
    </font>
    <font>
      <sz val="11"/>
      <color theme="1"/>
      <name val="Calibri"/>
      <family val="2"/>
    </font>
    <font>
      <b/>
      <sz val="11"/>
      <color rgb="FF333333"/>
      <name val="Calibri"/>
      <family val="2"/>
    </font>
    <font>
      <b/>
      <vertAlign val="superscript"/>
      <sz val="11"/>
      <color indexed="8"/>
      <name val="Calibri"/>
      <family val="2"/>
    </font>
    <font>
      <sz val="10"/>
      <name val="Arial"/>
      <family val="2"/>
    </font>
    <font>
      <b/>
      <vertAlign val="superscript"/>
      <sz val="11"/>
      <color indexed="8"/>
      <name val="Calibri"/>
      <family val="2"/>
      <scheme val="minor"/>
    </font>
    <font>
      <b/>
      <sz val="11"/>
      <color indexed="8"/>
      <name val="Calibri"/>
      <family val="2"/>
      <scheme val="minor"/>
    </font>
    <font>
      <sz val="11"/>
      <color rgb="FF000000"/>
      <name val="Calibri"/>
      <family val="2"/>
    </font>
    <font>
      <b/>
      <vertAlign val="superscript"/>
      <sz val="11"/>
      <color theme="1"/>
      <name val="Calibri"/>
      <family val="2"/>
      <scheme val="minor"/>
    </font>
    <font>
      <vertAlign val="superscript"/>
      <sz val="10"/>
      <color theme="1"/>
      <name val="Calibri"/>
      <family val="2"/>
      <scheme val="minor"/>
    </font>
    <font>
      <sz val="11"/>
      <color theme="1"/>
      <name val="Calibri Light"/>
      <family val="2"/>
    </font>
    <font>
      <sz val="10"/>
      <color theme="1"/>
      <name val="Calibri"/>
      <family val="2"/>
    </font>
    <font>
      <sz val="11"/>
      <color theme="10"/>
      <name val="Calibri"/>
      <family val="2"/>
      <scheme val="minor"/>
    </font>
    <font>
      <sz val="10"/>
      <color rgb="FF333333"/>
      <name val="Calibri"/>
      <family val="2"/>
    </font>
    <font>
      <sz val="10"/>
      <name val="Calibri"/>
      <family val="2"/>
    </font>
    <font>
      <b/>
      <vertAlign val="superscript"/>
      <sz val="11"/>
      <name val="Calibri"/>
      <family val="2"/>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s>
  <cellStyleXfs count="3">
    <xf numFmtId="0" fontId="0" fillId="0" borderId="0"/>
    <xf numFmtId="0" fontId="15" fillId="0" borderId="0" applyNumberFormat="0" applyFill="0" applyBorder="0" applyAlignment="0" applyProtection="0"/>
    <xf numFmtId="0" fontId="25" fillId="0" borderId="0" applyNumberFormat="0" applyFill="0" applyBorder="0" applyAlignment="0" applyProtection="0"/>
  </cellStyleXfs>
  <cellXfs count="239">
    <xf numFmtId="0" fontId="0" fillId="0" borderId="0" xfId="0"/>
    <xf numFmtId="0" fontId="2" fillId="0" borderId="0" xfId="0" applyFont="1"/>
    <xf numFmtId="0" fontId="0" fillId="0" borderId="0" xfId="0" applyAlignment="1">
      <alignment vertical="center" wrapText="1"/>
    </xf>
    <xf numFmtId="0" fontId="0" fillId="0" borderId="0" xfId="0" applyAlignment="1">
      <alignment wrapText="1"/>
    </xf>
    <xf numFmtId="0" fontId="1" fillId="0" borderId="1" xfId="0" applyFont="1" applyFill="1" applyBorder="1" applyAlignment="1">
      <alignment wrapText="1"/>
    </xf>
    <xf numFmtId="0" fontId="6" fillId="0" borderId="0" xfId="0" applyFont="1" applyFill="1" applyBorder="1" applyAlignment="1">
      <alignment wrapText="1"/>
    </xf>
    <xf numFmtId="3" fontId="0" fillId="0" borderId="0" xfId="0" applyNumberFormat="1" applyFont="1" applyFill="1" applyBorder="1" applyAlignment="1">
      <alignment wrapText="1"/>
    </xf>
    <xf numFmtId="3" fontId="0" fillId="0" borderId="0" xfId="0" applyNumberFormat="1" applyFill="1" applyBorder="1" applyAlignment="1">
      <alignment wrapText="1"/>
    </xf>
    <xf numFmtId="0" fontId="10" fillId="0" borderId="0" xfId="0" applyFont="1" applyFill="1" applyBorder="1" applyAlignment="1">
      <alignment wrapText="1"/>
    </xf>
    <xf numFmtId="0" fontId="6" fillId="0" borderId="0" xfId="0" applyFont="1" applyFill="1" applyBorder="1" applyAlignment="1">
      <alignment vertical="center" wrapText="1"/>
    </xf>
    <xf numFmtId="0" fontId="1" fillId="0" borderId="0" xfId="0" applyFont="1" applyAlignment="1">
      <alignment horizontal="right" wrapText="1"/>
    </xf>
    <xf numFmtId="3" fontId="1" fillId="0" borderId="3" xfId="0" applyNumberFormat="1" applyFont="1" applyFill="1" applyBorder="1" applyAlignment="1">
      <alignment wrapText="1"/>
    </xf>
    <xf numFmtId="0" fontId="13" fillId="0" borderId="0" xfId="0" applyFont="1" applyFill="1" applyBorder="1" applyAlignment="1">
      <alignment vertical="top" wrapText="1"/>
    </xf>
    <xf numFmtId="0" fontId="1" fillId="0" borderId="4" xfId="0" applyFont="1" applyBorder="1" applyAlignment="1">
      <alignment wrapText="1"/>
    </xf>
    <xf numFmtId="0" fontId="4" fillId="0" borderId="0" xfId="0" applyFont="1" applyAlignment="1">
      <alignment wrapText="1"/>
    </xf>
    <xf numFmtId="0" fontId="0" fillId="0" borderId="0" xfId="0" applyFont="1" applyAlignment="1">
      <alignment wrapText="1"/>
    </xf>
    <xf numFmtId="3" fontId="0" fillId="0" borderId="0" xfId="0" applyNumberFormat="1" applyAlignment="1">
      <alignment wrapText="1"/>
    </xf>
    <xf numFmtId="10" fontId="0" fillId="0" borderId="0" xfId="0" applyNumberFormat="1" applyAlignment="1">
      <alignment wrapText="1"/>
    </xf>
    <xf numFmtId="0" fontId="10" fillId="0" borderId="0" xfId="0" applyFont="1" applyFill="1" applyBorder="1" applyAlignment="1">
      <alignment vertical="center" wrapText="1"/>
    </xf>
    <xf numFmtId="3" fontId="1" fillId="0" borderId="0" xfId="0" applyNumberFormat="1" applyFont="1" applyFill="1" applyBorder="1" applyAlignment="1">
      <alignment wrapText="1"/>
    </xf>
    <xf numFmtId="0" fontId="16" fillId="0" borderId="7" xfId="1" applyFont="1" applyBorder="1"/>
    <xf numFmtId="0" fontId="6" fillId="0" borderId="8" xfId="0" applyFont="1" applyBorder="1"/>
    <xf numFmtId="0" fontId="16" fillId="0" borderId="0" xfId="1" applyFont="1" applyBorder="1"/>
    <xf numFmtId="0" fontId="6" fillId="0" borderId="10" xfId="0" applyFont="1" applyBorder="1"/>
    <xf numFmtId="0" fontId="0" fillId="0" borderId="11" xfId="0" applyBorder="1" applyAlignment="1">
      <alignment wrapText="1"/>
    </xf>
    <xf numFmtId="0" fontId="0" fillId="0" borderId="12" xfId="0" applyBorder="1" applyAlignment="1">
      <alignment wrapText="1"/>
    </xf>
    <xf numFmtId="0" fontId="16" fillId="0" borderId="12" xfId="1" applyFont="1" applyBorder="1"/>
    <xf numFmtId="0" fontId="6" fillId="0" borderId="13" xfId="0" applyFont="1" applyBorder="1"/>
    <xf numFmtId="0" fontId="0" fillId="0" borderId="14" xfId="0" applyBorder="1" applyAlignment="1">
      <alignment wrapText="1"/>
    </xf>
    <xf numFmtId="0" fontId="12" fillId="0" borderId="15" xfId="0" applyFont="1" applyBorder="1" applyAlignment="1">
      <alignment wrapText="1"/>
    </xf>
    <xf numFmtId="0" fontId="0" fillId="0" borderId="15" xfId="0" applyBorder="1"/>
    <xf numFmtId="0" fontId="0" fillId="0" borderId="16" xfId="0" applyBorder="1"/>
    <xf numFmtId="0" fontId="17" fillId="0" borderId="1" xfId="0" applyFont="1" applyBorder="1" applyAlignment="1">
      <alignment wrapText="1"/>
    </xf>
    <xf numFmtId="0" fontId="17" fillId="0" borderId="1" xfId="0" applyFont="1" applyBorder="1" applyAlignment="1">
      <alignment horizontal="right" wrapText="1"/>
    </xf>
    <xf numFmtId="0" fontId="9" fillId="0" borderId="0" xfId="0" applyFont="1" applyAlignment="1">
      <alignment vertical="top" wrapText="1"/>
    </xf>
    <xf numFmtId="0" fontId="9" fillId="0" borderId="0" xfId="0" applyFont="1" applyAlignment="1">
      <alignment horizontal="right" vertical="center" wrapText="1"/>
    </xf>
    <xf numFmtId="0" fontId="9" fillId="0" borderId="0" xfId="0" applyFont="1" applyFill="1" applyAlignment="1">
      <alignment vertical="top" wrapText="1"/>
    </xf>
    <xf numFmtId="0" fontId="9" fillId="2" borderId="0" xfId="0" applyFont="1" applyFill="1" applyAlignment="1">
      <alignment vertical="top" wrapText="1"/>
    </xf>
    <xf numFmtId="0" fontId="0" fillId="0" borderId="0" xfId="0" applyFont="1" applyAlignment="1">
      <alignment horizontal="right" vertical="center" wrapText="1"/>
    </xf>
    <xf numFmtId="0" fontId="0" fillId="0" borderId="0" xfId="0" applyFont="1" applyAlignment="1">
      <alignment vertical="center" wrapText="1"/>
    </xf>
    <xf numFmtId="0" fontId="0" fillId="0" borderId="0" xfId="0" applyFont="1" applyAlignment="1">
      <alignment vertical="top" wrapText="1"/>
    </xf>
    <xf numFmtId="0" fontId="0" fillId="0" borderId="0" xfId="0" applyAlignment="1"/>
    <xf numFmtId="0" fontId="1" fillId="0" borderId="1" xfId="0" applyFont="1" applyBorder="1" applyAlignment="1">
      <alignment wrapText="1"/>
    </xf>
    <xf numFmtId="0" fontId="15" fillId="2" borderId="0" xfId="1" applyFill="1" applyAlignment="1">
      <alignment vertical="center" wrapText="1"/>
    </xf>
    <xf numFmtId="0" fontId="15" fillId="0" borderId="0" xfId="1" applyAlignment="1">
      <alignment vertical="center" wrapText="1"/>
    </xf>
    <xf numFmtId="3" fontId="0" fillId="0" borderId="0" xfId="0" applyNumberFormat="1" applyAlignment="1">
      <alignment horizontal="center" vertical="center" wrapText="1"/>
    </xf>
    <xf numFmtId="0" fontId="0" fillId="0" borderId="0" xfId="0" applyFont="1" applyAlignment="1">
      <alignment horizontal="center" vertical="center" wrapText="1"/>
    </xf>
    <xf numFmtId="3" fontId="1" fillId="0" borderId="3" xfId="0" applyNumberFormat="1" applyFont="1" applyBorder="1" applyAlignment="1">
      <alignment horizontal="center" vertical="center" wrapText="1"/>
    </xf>
    <xf numFmtId="0" fontId="0" fillId="0" borderId="0" xfId="0" applyAlignment="1">
      <alignment horizontal="center" wrapText="1"/>
    </xf>
    <xf numFmtId="0" fontId="0" fillId="0" borderId="1" xfId="0" applyFill="1" applyBorder="1"/>
    <xf numFmtId="0" fontId="1" fillId="0" borderId="17" xfId="0" applyFont="1" applyBorder="1"/>
    <xf numFmtId="3" fontId="1" fillId="0" borderId="17" xfId="0" applyNumberFormat="1" applyFont="1" applyFill="1" applyBorder="1" applyAlignment="1">
      <alignment horizontal="center" wrapText="1"/>
    </xf>
    <xf numFmtId="0" fontId="0" fillId="0" borderId="0" xfId="0" applyBorder="1"/>
    <xf numFmtId="3" fontId="0" fillId="0" borderId="0" xfId="0" applyNumberFormat="1" applyFill="1" applyBorder="1" applyAlignment="1">
      <alignment horizontal="center" wrapText="1"/>
    </xf>
    <xf numFmtId="0" fontId="20" fillId="0" borderId="0" xfId="0" applyFont="1"/>
    <xf numFmtId="165" fontId="0" fillId="0" borderId="4" xfId="0" applyNumberFormat="1" applyFill="1" applyBorder="1"/>
    <xf numFmtId="0" fontId="0" fillId="0" borderId="4" xfId="0" applyFill="1" applyBorder="1"/>
    <xf numFmtId="0" fontId="1" fillId="0" borderId="0" xfId="0" applyFont="1" applyBorder="1" applyAlignment="1">
      <alignment horizontal="center" wrapText="1"/>
    </xf>
    <xf numFmtId="0" fontId="0" fillId="0" borderId="0" xfId="0" applyFont="1" applyFill="1" applyBorder="1"/>
    <xf numFmtId="3" fontId="0" fillId="0" borderId="0" xfId="0" applyNumberFormat="1" applyBorder="1" applyAlignment="1">
      <alignment horizontal="center"/>
    </xf>
    <xf numFmtId="3" fontId="0" fillId="0" borderId="0" xfId="0" applyNumberFormat="1" applyBorder="1"/>
    <xf numFmtId="0" fontId="1" fillId="0" borderId="2" xfId="0" applyFont="1" applyBorder="1"/>
    <xf numFmtId="3" fontId="1" fillId="0" borderId="3" xfId="0" applyNumberFormat="1" applyFont="1" applyBorder="1"/>
    <xf numFmtId="0" fontId="0" fillId="0" borderId="1" xfId="0" applyFont="1" applyFill="1" applyBorder="1"/>
    <xf numFmtId="0" fontId="0" fillId="0" borderId="0" xfId="0" applyBorder="1" applyAlignment="1">
      <alignment wrapText="1"/>
    </xf>
    <xf numFmtId="0" fontId="15" fillId="0" borderId="0" xfId="1"/>
    <xf numFmtId="0" fontId="15" fillId="0" borderId="4" xfId="1" applyFill="1" applyBorder="1"/>
    <xf numFmtId="0" fontId="1" fillId="0" borderId="14" xfId="0" applyFont="1" applyFill="1" applyBorder="1" applyAlignment="1">
      <alignment horizontal="right"/>
    </xf>
    <xf numFmtId="165" fontId="1" fillId="0" borderId="16" xfId="0" applyNumberFormat="1" applyFont="1" applyBorder="1" applyAlignment="1">
      <alignment horizontal="center"/>
    </xf>
    <xf numFmtId="3" fontId="1" fillId="0" borderId="16" xfId="0" applyNumberFormat="1" applyFont="1" applyBorder="1" applyAlignment="1">
      <alignment horizontal="center"/>
    </xf>
    <xf numFmtId="0" fontId="21" fillId="0" borderId="1" xfId="0" applyFont="1" applyFill="1" applyBorder="1" applyAlignment="1">
      <alignment wrapText="1"/>
    </xf>
    <xf numFmtId="0" fontId="22" fillId="0" borderId="0" xfId="0" applyFont="1" applyFill="1" applyBorder="1" applyAlignment="1">
      <alignment wrapText="1"/>
    </xf>
    <xf numFmtId="0" fontId="19" fillId="0" borderId="0" xfId="0" applyFont="1" applyFill="1" applyBorder="1" applyAlignment="1">
      <alignment horizontal="left" vertical="center" wrapText="1"/>
    </xf>
    <xf numFmtId="0" fontId="21" fillId="0" borderId="2" xfId="0" applyFont="1" applyFill="1" applyBorder="1" applyAlignment="1">
      <alignment horizontal="right" wrapText="1"/>
    </xf>
    <xf numFmtId="3" fontId="21" fillId="0" borderId="3" xfId="0" applyNumberFormat="1" applyFont="1" applyFill="1" applyBorder="1" applyAlignment="1">
      <alignment wrapText="1"/>
    </xf>
    <xf numFmtId="0" fontId="22" fillId="0" borderId="0" xfId="0" applyFont="1" applyFill="1" applyBorder="1" applyAlignment="1">
      <alignment horizontal="left" vertical="center" wrapText="1"/>
    </xf>
    <xf numFmtId="3" fontId="19" fillId="0" borderId="0" xfId="0" applyNumberFormat="1" applyFont="1" applyFill="1" applyBorder="1" applyAlignment="1">
      <alignment horizontal="left" vertical="center" wrapText="1"/>
    </xf>
    <xf numFmtId="3" fontId="22" fillId="0" borderId="0" xfId="0" applyNumberFormat="1" applyFont="1" applyFill="1" applyBorder="1" applyAlignment="1">
      <alignment horizontal="left" vertical="center" wrapText="1"/>
    </xf>
    <xf numFmtId="0" fontId="1" fillId="0" borderId="1" xfId="0" applyFont="1" applyBorder="1" applyAlignment="1">
      <alignment horizontal="center" wrapText="1"/>
    </xf>
    <xf numFmtId="0" fontId="1" fillId="0" borderId="1" xfId="0" applyFont="1" applyBorder="1" applyAlignment="1">
      <alignment horizontal="left" wrapText="1"/>
    </xf>
    <xf numFmtId="3" fontId="0" fillId="0" borderId="0" xfId="0" applyNumberFormat="1" applyAlignment="1">
      <alignment horizontal="center" wrapText="1"/>
    </xf>
    <xf numFmtId="0" fontId="6" fillId="0" borderId="0" xfId="0" applyFont="1" applyAlignment="1">
      <alignment wrapText="1"/>
    </xf>
    <xf numFmtId="0" fontId="6" fillId="0" borderId="0" xfId="0" applyFont="1" applyAlignment="1">
      <alignment horizontal="left" wrapText="1"/>
    </xf>
    <xf numFmtId="0" fontId="6" fillId="0" borderId="12" xfId="0" applyFont="1" applyBorder="1" applyAlignment="1">
      <alignment wrapText="1"/>
    </xf>
    <xf numFmtId="0" fontId="16" fillId="0" borderId="0" xfId="1" applyFont="1" applyAlignment="1">
      <alignment wrapText="1"/>
    </xf>
    <xf numFmtId="0" fontId="1" fillId="0" borderId="0" xfId="0" applyFont="1" applyAlignment="1">
      <alignment wrapText="1"/>
    </xf>
    <xf numFmtId="0" fontId="0" fillId="0" borderId="1" xfId="0" applyBorder="1" applyAlignment="1">
      <alignment wrapText="1"/>
    </xf>
    <xf numFmtId="0" fontId="15" fillId="0" borderId="0" xfId="1" applyNumberFormat="1" applyBorder="1" applyAlignment="1" applyProtection="1">
      <alignment horizontal="right" vertical="center"/>
    </xf>
    <xf numFmtId="0" fontId="15" fillId="0" borderId="0" xfId="1" applyBorder="1" applyAlignment="1" applyProtection="1">
      <alignment horizontal="right" vertical="center"/>
    </xf>
    <xf numFmtId="0" fontId="1" fillId="0" borderId="1" xfId="0" applyFont="1" applyBorder="1" applyAlignment="1">
      <alignment vertical="center"/>
    </xf>
    <xf numFmtId="0" fontId="15" fillId="0" borderId="0" xfId="1" applyFill="1" applyBorder="1" applyAlignment="1" applyProtection="1">
      <alignment horizontal="right" vertical="center"/>
    </xf>
    <xf numFmtId="0" fontId="15" fillId="0" borderId="0" xfId="1" applyAlignment="1" applyProtection="1">
      <alignment vertical="center"/>
    </xf>
    <xf numFmtId="0" fontId="0" fillId="0" borderId="0" xfId="0" applyAlignment="1">
      <alignment vertical="center"/>
    </xf>
    <xf numFmtId="0" fontId="9" fillId="0" borderId="0" xfId="0" quotePrefix="1" applyFont="1" applyAlignment="1">
      <alignment horizontal="right" vertical="center" wrapText="1"/>
    </xf>
    <xf numFmtId="0" fontId="0" fillId="0" borderId="0" xfId="0" quotePrefix="1" applyAlignment="1">
      <alignment horizontal="right" vertical="top" wrapText="1"/>
    </xf>
    <xf numFmtId="3" fontId="0" fillId="0" borderId="0" xfId="0" applyNumberFormat="1" applyFont="1" applyAlignment="1">
      <alignment wrapText="1"/>
    </xf>
    <xf numFmtId="17" fontId="9" fillId="0" borderId="0" xfId="0" quotePrefix="1" applyNumberFormat="1" applyFont="1" applyAlignment="1">
      <alignment horizontal="right" vertical="center" wrapText="1"/>
    </xf>
    <xf numFmtId="3" fontId="0" fillId="0" borderId="0" xfId="0" applyNumberFormat="1" applyBorder="1" applyAlignment="1">
      <alignment wrapText="1"/>
    </xf>
    <xf numFmtId="0" fontId="6" fillId="0" borderId="0" xfId="0" applyFont="1" applyAlignment="1"/>
    <xf numFmtId="9" fontId="0" fillId="0" borderId="0" xfId="0" applyNumberFormat="1" applyAlignment="1">
      <alignment wrapText="1"/>
    </xf>
    <xf numFmtId="9" fontId="0" fillId="0" borderId="0" xfId="0" applyNumberFormat="1" applyFont="1" applyFill="1" applyAlignment="1">
      <alignment horizontal="center" vertical="center" wrapText="1"/>
    </xf>
    <xf numFmtId="0" fontId="9" fillId="0" borderId="0" xfId="0" applyNumberFormat="1" applyFont="1" applyAlignment="1">
      <alignment horizontal="right" vertical="center" wrapText="1"/>
    </xf>
    <xf numFmtId="3" fontId="1" fillId="0" borderId="2" xfId="0" applyNumberFormat="1" applyFont="1" applyFill="1" applyBorder="1" applyAlignment="1">
      <alignment horizontal="center" wrapText="1"/>
    </xf>
    <xf numFmtId="3" fontId="1" fillId="0" borderId="5" xfId="0" applyNumberFormat="1" applyFont="1" applyFill="1" applyBorder="1" applyAlignment="1">
      <alignment horizontal="center" wrapText="1"/>
    </xf>
    <xf numFmtId="3" fontId="1" fillId="0" borderId="3" xfId="0" applyNumberFormat="1" applyFont="1" applyFill="1" applyBorder="1" applyAlignment="1">
      <alignment horizontal="center" wrapText="1"/>
    </xf>
    <xf numFmtId="9" fontId="1" fillId="0" borderId="2" xfId="0" applyNumberFormat="1" applyFont="1" applyFill="1" applyBorder="1" applyAlignment="1">
      <alignment horizontal="center" wrapText="1"/>
    </xf>
    <xf numFmtId="3" fontId="1" fillId="0" borderId="5" xfId="0" applyNumberFormat="1" applyFont="1" applyBorder="1" applyAlignment="1">
      <alignment horizontal="center" wrapText="1"/>
    </xf>
    <xf numFmtId="3" fontId="1" fillId="0" borderId="18" xfId="0" applyNumberFormat="1" applyFont="1" applyBorder="1" applyAlignment="1">
      <alignment horizontal="center" wrapText="1"/>
    </xf>
    <xf numFmtId="0" fontId="19" fillId="0" borderId="0" xfId="0" applyFont="1" applyFill="1" applyBorder="1" applyAlignment="1">
      <alignment vertical="center" wrapText="1"/>
    </xf>
    <xf numFmtId="0" fontId="6" fillId="0" borderId="0" xfId="0" applyFont="1" applyFill="1" applyAlignment="1">
      <alignment horizontal="left" wrapText="1"/>
    </xf>
    <xf numFmtId="0" fontId="28" fillId="0" borderId="0" xfId="0" applyFont="1" applyFill="1" applyBorder="1" applyAlignment="1">
      <alignment horizontal="left" vertical="center" wrapText="1"/>
    </xf>
    <xf numFmtId="0" fontId="17" fillId="0" borderId="1" xfId="0" applyFont="1" applyBorder="1" applyAlignment="1">
      <alignment horizontal="center" wrapText="1"/>
    </xf>
    <xf numFmtId="9" fontId="9" fillId="0" borderId="0" xfId="0" applyNumberFormat="1" applyFont="1" applyAlignment="1">
      <alignment horizontal="center" vertical="center" wrapText="1"/>
    </xf>
    <xf numFmtId="9" fontId="9" fillId="0" borderId="0" xfId="0" applyNumberFormat="1" applyFont="1" applyFill="1" applyAlignment="1">
      <alignment horizontal="center" vertical="center" wrapText="1"/>
    </xf>
    <xf numFmtId="9" fontId="9" fillId="2" borderId="0" xfId="0" applyNumberFormat="1" applyFont="1" applyFill="1" applyAlignment="1">
      <alignment horizontal="center" vertical="center" wrapText="1"/>
    </xf>
    <xf numFmtId="10" fontId="9" fillId="0" borderId="0" xfId="0" applyNumberFormat="1" applyFont="1" applyAlignment="1">
      <alignment horizontal="center" vertical="center" wrapText="1"/>
    </xf>
    <xf numFmtId="0" fontId="1" fillId="0" borderId="2" xfId="0" applyFont="1" applyBorder="1" applyAlignment="1">
      <alignment horizontal="center" vertical="center" wrapText="1"/>
    </xf>
    <xf numFmtId="3" fontId="0" fillId="0" borderId="17" xfId="0" applyNumberFormat="1" applyFont="1" applyFill="1" applyBorder="1" applyAlignment="1">
      <alignment horizontal="center" wrapText="1"/>
    </xf>
    <xf numFmtId="3" fontId="0" fillId="0" borderId="0" xfId="0" applyNumberFormat="1" applyFont="1" applyFill="1" applyAlignment="1">
      <alignment wrapText="1"/>
    </xf>
    <xf numFmtId="164" fontId="1" fillId="0" borderId="3" xfId="0" applyNumberFormat="1" applyFont="1" applyFill="1" applyBorder="1" applyAlignment="1">
      <alignment horizontal="center" wrapText="1"/>
    </xf>
    <xf numFmtId="164" fontId="0" fillId="0" borderId="0" xfId="0" applyNumberFormat="1" applyFont="1" applyFill="1" applyBorder="1" applyAlignment="1">
      <alignment wrapText="1"/>
    </xf>
    <xf numFmtId="164" fontId="0" fillId="0" borderId="0" xfId="0" applyNumberFormat="1" applyFont="1" applyFill="1" applyAlignment="1">
      <alignment wrapText="1"/>
    </xf>
    <xf numFmtId="3" fontId="0" fillId="0" borderId="0" xfId="0" applyNumberFormat="1" applyFont="1" applyFill="1" applyBorder="1" applyAlignment="1">
      <alignment horizontal="center" wrapText="1"/>
    </xf>
    <xf numFmtId="3" fontId="1" fillId="0" borderId="0" xfId="0" applyNumberFormat="1" applyFont="1" applyAlignment="1">
      <alignment horizontal="center" wrapText="1"/>
    </xf>
    <xf numFmtId="0" fontId="23" fillId="0" borderId="3" xfId="0" applyFont="1" applyFill="1" applyBorder="1" applyAlignment="1">
      <alignment horizontal="center" wrapText="1"/>
    </xf>
    <xf numFmtId="3" fontId="0" fillId="0" borderId="19" xfId="0" applyNumberFormat="1" applyBorder="1" applyAlignment="1">
      <alignment wrapText="1"/>
    </xf>
    <xf numFmtId="3" fontId="0" fillId="0" borderId="20" xfId="0" applyNumberFormat="1" applyBorder="1" applyAlignment="1">
      <alignment wrapText="1"/>
    </xf>
    <xf numFmtId="164" fontId="0" fillId="0" borderId="23" xfId="0" applyNumberFormat="1" applyFont="1" applyFill="1" applyBorder="1" applyAlignment="1">
      <alignment wrapText="1"/>
    </xf>
    <xf numFmtId="3" fontId="0" fillId="0" borderId="22" xfId="0" applyNumberFormat="1" applyFont="1" applyFill="1" applyBorder="1" applyAlignment="1">
      <alignment wrapText="1"/>
    </xf>
    <xf numFmtId="0" fontId="11" fillId="0" borderId="23" xfId="0" applyFont="1" applyFill="1" applyBorder="1" applyAlignment="1">
      <alignment wrapText="1"/>
    </xf>
    <xf numFmtId="0" fontId="11" fillId="0" borderId="23" xfId="0" applyFont="1" applyFill="1" applyBorder="1" applyAlignment="1">
      <alignment vertical="top" wrapText="1"/>
    </xf>
    <xf numFmtId="9" fontId="0" fillId="0" borderId="22" xfId="0" applyNumberFormat="1" applyBorder="1" applyAlignment="1">
      <alignment wrapText="1"/>
    </xf>
    <xf numFmtId="3" fontId="0" fillId="0" borderId="23" xfId="0" applyNumberFormat="1" applyBorder="1" applyAlignment="1">
      <alignment wrapText="1"/>
    </xf>
    <xf numFmtId="164" fontId="0" fillId="0" borderId="22" xfId="0" applyNumberFormat="1" applyBorder="1" applyAlignment="1">
      <alignment wrapText="1"/>
    </xf>
    <xf numFmtId="10" fontId="0" fillId="0" borderId="22" xfId="0" applyNumberFormat="1" applyBorder="1" applyAlignment="1">
      <alignment wrapText="1"/>
    </xf>
    <xf numFmtId="3" fontId="0" fillId="0" borderId="22" xfId="0" applyNumberFormat="1" applyBorder="1" applyAlignment="1">
      <alignment wrapText="1"/>
    </xf>
    <xf numFmtId="3" fontId="0" fillId="0" borderId="23" xfId="0" applyNumberFormat="1" applyBorder="1" applyAlignment="1">
      <alignment horizontal="center" wrapText="1"/>
    </xf>
    <xf numFmtId="3" fontId="0" fillId="0" borderId="22" xfId="0" applyNumberFormat="1" applyFill="1" applyBorder="1" applyAlignment="1">
      <alignment wrapText="1"/>
    </xf>
    <xf numFmtId="3" fontId="0" fillId="0" borderId="23" xfId="0" applyNumberFormat="1" applyFill="1" applyBorder="1" applyAlignment="1">
      <alignment horizontal="center" wrapText="1"/>
    </xf>
    <xf numFmtId="3" fontId="0" fillId="0" borderId="0" xfId="0" applyNumberFormat="1" applyBorder="1" applyAlignment="1">
      <alignment horizontal="right" wrapText="1"/>
    </xf>
    <xf numFmtId="0" fontId="11" fillId="0" borderId="25" xfId="0" applyFont="1" applyFill="1" applyBorder="1" applyAlignment="1">
      <alignment wrapText="1"/>
    </xf>
    <xf numFmtId="3" fontId="9" fillId="0" borderId="22" xfId="2" applyNumberFormat="1" applyFont="1" applyFill="1" applyBorder="1" applyAlignment="1"/>
    <xf numFmtId="3" fontId="0" fillId="0" borderId="24" xfId="0" applyNumberFormat="1" applyFont="1" applyFill="1" applyBorder="1" applyAlignment="1">
      <alignment wrapText="1"/>
    </xf>
    <xf numFmtId="3" fontId="0" fillId="0" borderId="0" xfId="0" applyNumberFormat="1" applyFont="1" applyFill="1" applyBorder="1" applyAlignment="1"/>
    <xf numFmtId="3" fontId="0" fillId="0" borderId="1" xfId="0" applyNumberFormat="1" applyFont="1" applyFill="1" applyBorder="1" applyAlignment="1">
      <alignment wrapText="1"/>
    </xf>
    <xf numFmtId="164" fontId="0" fillId="0" borderId="23" xfId="0" applyNumberFormat="1" applyFont="1" applyFill="1" applyBorder="1" applyAlignment="1"/>
    <xf numFmtId="164" fontId="0" fillId="0" borderId="25" xfId="0" applyNumberFormat="1" applyFont="1" applyFill="1" applyBorder="1" applyAlignment="1">
      <alignment wrapText="1"/>
    </xf>
    <xf numFmtId="9" fontId="0" fillId="0" borderId="22" xfId="0" applyNumberFormat="1" applyBorder="1" applyAlignment="1"/>
    <xf numFmtId="9" fontId="0" fillId="0" borderId="24" xfId="0" applyNumberFormat="1" applyBorder="1" applyAlignment="1">
      <alignment wrapText="1"/>
    </xf>
    <xf numFmtId="3" fontId="0" fillId="0" borderId="0" xfId="0" applyNumberFormat="1" applyBorder="1" applyAlignment="1"/>
    <xf numFmtId="3" fontId="0" fillId="0" borderId="1" xfId="0" applyNumberFormat="1" applyBorder="1" applyAlignment="1">
      <alignment wrapText="1"/>
    </xf>
    <xf numFmtId="3" fontId="0" fillId="0" borderId="23" xfId="0" applyNumberFormat="1" applyBorder="1" applyAlignment="1"/>
    <xf numFmtId="3" fontId="0" fillId="0" borderId="25" xfId="0" applyNumberFormat="1" applyBorder="1" applyAlignment="1">
      <alignment wrapText="1"/>
    </xf>
    <xf numFmtId="3" fontId="0" fillId="0" borderId="22" xfId="0" applyNumberFormat="1" applyBorder="1" applyAlignment="1"/>
    <xf numFmtId="3" fontId="0" fillId="0" borderId="24" xfId="0" applyNumberFormat="1" applyBorder="1" applyAlignment="1">
      <alignment wrapText="1"/>
    </xf>
    <xf numFmtId="3" fontId="0" fillId="0" borderId="20" xfId="0" applyNumberFormat="1" applyBorder="1" applyAlignment="1"/>
    <xf numFmtId="3" fontId="0" fillId="0" borderId="21" xfId="0" applyNumberFormat="1" applyBorder="1" applyAlignment="1">
      <alignment wrapText="1"/>
    </xf>
    <xf numFmtId="0" fontId="6" fillId="0" borderId="0" xfId="0" applyFont="1" applyAlignment="1">
      <alignment vertical="center" wrapText="1"/>
    </xf>
    <xf numFmtId="0" fontId="16" fillId="0" borderId="0" xfId="1" applyFont="1" applyAlignment="1">
      <alignment horizontal="center" vertical="center" wrapText="1"/>
    </xf>
    <xf numFmtId="0" fontId="16" fillId="0" borderId="0" xfId="1" applyFont="1" applyAlignment="1">
      <alignment horizontal="center" wrapText="1"/>
    </xf>
    <xf numFmtId="3" fontId="0" fillId="0" borderId="0" xfId="0" applyNumberFormat="1" applyBorder="1" applyAlignment="1">
      <alignment horizontal="right"/>
    </xf>
    <xf numFmtId="3" fontId="0" fillId="0" borderId="0" xfId="0" applyNumberFormat="1" applyFill="1" applyBorder="1" applyAlignment="1">
      <alignment horizontal="right" wrapText="1"/>
    </xf>
    <xf numFmtId="0" fontId="15" fillId="0" borderId="0" xfId="1" applyAlignment="1">
      <alignment wrapText="1"/>
    </xf>
    <xf numFmtId="3" fontId="0" fillId="0" borderId="0" xfId="0" applyNumberFormat="1" applyFont="1" applyAlignment="1">
      <alignment horizontal="center" vertical="center" wrapText="1"/>
    </xf>
    <xf numFmtId="3" fontId="31" fillId="0" borderId="0" xfId="0" applyNumberFormat="1" applyFont="1"/>
    <xf numFmtId="3" fontId="0" fillId="0" borderId="0" xfId="0" applyNumberFormat="1" applyAlignment="1">
      <alignment horizontal="right" wrapText="1"/>
    </xf>
    <xf numFmtId="3" fontId="0" fillId="0" borderId="0" xfId="0" applyNumberFormat="1" applyFont="1" applyFill="1" applyBorder="1" applyAlignment="1">
      <alignment horizontal="right" wrapText="1"/>
    </xf>
    <xf numFmtId="0" fontId="0" fillId="0" borderId="0" xfId="0" applyFont="1" applyAlignment="1"/>
    <xf numFmtId="0" fontId="0" fillId="0" borderId="0" xfId="0" applyAlignment="1">
      <alignment horizontal="right" wrapText="1"/>
    </xf>
    <xf numFmtId="3" fontId="0" fillId="0" borderId="12" xfId="0" applyNumberFormat="1" applyBorder="1" applyAlignment="1">
      <alignment horizontal="right" wrapText="1"/>
    </xf>
    <xf numFmtId="0" fontId="25" fillId="0" borderId="0" xfId="0" applyFont="1" applyAlignment="1">
      <alignment horizontal="center" vertical="center" wrapText="1"/>
    </xf>
    <xf numFmtId="0" fontId="10" fillId="0" borderId="0" xfId="0" applyFont="1" applyAlignment="1">
      <alignment wrapText="1"/>
    </xf>
    <xf numFmtId="0" fontId="6" fillId="0" borderId="0" xfId="0" applyFont="1" applyBorder="1" applyAlignment="1">
      <alignment wrapText="1"/>
    </xf>
    <xf numFmtId="0" fontId="16" fillId="0" borderId="0" xfId="1" applyFont="1" applyBorder="1" applyAlignment="1">
      <alignment wrapText="1"/>
    </xf>
    <xf numFmtId="0" fontId="16" fillId="0" borderId="12" xfId="1" applyFont="1" applyBorder="1" applyAlignment="1">
      <alignment horizontal="center" vertical="center" wrapText="1"/>
    </xf>
    <xf numFmtId="0" fontId="6" fillId="0" borderId="0" xfId="0" applyFont="1" applyBorder="1"/>
    <xf numFmtId="0" fontId="6" fillId="0" borderId="0" xfId="0" applyFont="1" applyFill="1" applyBorder="1"/>
    <xf numFmtId="0" fontId="0" fillId="0" borderId="0" xfId="0" applyFont="1" applyBorder="1" applyAlignment="1">
      <alignment wrapText="1"/>
    </xf>
    <xf numFmtId="0" fontId="33" fillId="0" borderId="0" xfId="1" applyFont="1" applyAlignment="1">
      <alignment vertical="center" wrapText="1"/>
    </xf>
    <xf numFmtId="0" fontId="6" fillId="0" borderId="0" xfId="0" applyFont="1" applyAlignment="1">
      <alignment horizontal="left" wrapText="1"/>
    </xf>
    <xf numFmtId="0" fontId="3" fillId="0" borderId="0" xfId="0" applyFont="1" applyFill="1" applyAlignment="1">
      <alignment horizontal="left" vertical="center" wrapText="1"/>
    </xf>
    <xf numFmtId="0" fontId="0" fillId="0" borderId="0" xfId="0" applyAlignment="1">
      <alignment horizontal="left" vertical="center" wrapText="1"/>
    </xf>
    <xf numFmtId="0" fontId="1" fillId="0" borderId="4" xfId="0" applyFont="1" applyBorder="1" applyAlignment="1">
      <alignment horizontal="center" wrapText="1"/>
    </xf>
    <xf numFmtId="0" fontId="34" fillId="0" borderId="0" xfId="0" applyFont="1" applyFill="1" applyBorder="1" applyAlignment="1">
      <alignment wrapText="1"/>
    </xf>
    <xf numFmtId="3" fontId="1" fillId="0" borderId="4" xfId="0" applyNumberFormat="1" applyFont="1" applyFill="1" applyBorder="1" applyAlignment="1">
      <alignment wrapText="1"/>
    </xf>
    <xf numFmtId="3" fontId="6" fillId="0" borderId="0" xfId="0" applyNumberFormat="1" applyFont="1" applyAlignment="1"/>
    <xf numFmtId="0" fontId="12" fillId="0" borderId="14" xfId="0" applyFont="1" applyBorder="1" applyAlignment="1"/>
    <xf numFmtId="0" fontId="0" fillId="0" borderId="16" xfId="0" applyBorder="1" applyAlignment="1">
      <alignment wrapText="1"/>
    </xf>
    <xf numFmtId="0" fontId="32" fillId="0" borderId="0" xfId="0" applyFont="1" applyFill="1" applyBorder="1" applyAlignment="1"/>
    <xf numFmtId="0" fontId="14" fillId="0" borderId="1" xfId="0" applyFont="1" applyBorder="1" applyAlignment="1">
      <alignment wrapText="1"/>
    </xf>
    <xf numFmtId="3" fontId="6" fillId="0" borderId="0" xfId="0" applyNumberFormat="1" applyFont="1" applyAlignment="1">
      <alignment horizontal="left" wrapText="1"/>
    </xf>
    <xf numFmtId="0" fontId="1" fillId="0" borderId="24" xfId="0" applyFont="1" applyBorder="1" applyAlignment="1">
      <alignment wrapText="1"/>
    </xf>
    <xf numFmtId="3" fontId="1" fillId="0" borderId="25" xfId="0" applyNumberFormat="1" applyFont="1" applyBorder="1" applyAlignment="1">
      <alignment horizontal="right" wrapText="1"/>
    </xf>
    <xf numFmtId="0" fontId="6" fillId="0" borderId="15" xfId="0" applyFont="1" applyBorder="1" applyAlignment="1">
      <alignment wrapText="1"/>
    </xf>
    <xf numFmtId="0" fontId="16" fillId="0" borderId="15" xfId="1" applyFont="1" applyBorder="1" applyAlignment="1">
      <alignment wrapText="1"/>
    </xf>
    <xf numFmtId="0" fontId="6" fillId="0" borderId="16" xfId="0" applyFont="1" applyBorder="1" applyAlignment="1">
      <alignment wrapText="1"/>
    </xf>
    <xf numFmtId="0" fontId="6" fillId="0" borderId="6" xfId="0" applyFont="1" applyBorder="1" applyAlignment="1">
      <alignment wrapText="1"/>
    </xf>
    <xf numFmtId="3" fontId="0" fillId="0" borderId="7" xfId="0" applyNumberFormat="1" applyBorder="1" applyAlignment="1">
      <alignment horizontal="right" wrapText="1"/>
    </xf>
    <xf numFmtId="0" fontId="1" fillId="0" borderId="26" xfId="0" applyFont="1" applyBorder="1" applyAlignment="1">
      <alignment wrapText="1"/>
    </xf>
    <xf numFmtId="3" fontId="1" fillId="0" borderId="27" xfId="0" applyNumberFormat="1" applyFont="1" applyBorder="1" applyAlignment="1">
      <alignment horizontal="right" wrapText="1"/>
    </xf>
    <xf numFmtId="0" fontId="1" fillId="0" borderId="22" xfId="0" applyFont="1" applyBorder="1" applyAlignment="1">
      <alignment wrapText="1"/>
    </xf>
    <xf numFmtId="3" fontId="1" fillId="0" borderId="23" xfId="0" applyNumberFormat="1" applyFont="1" applyBorder="1" applyAlignment="1">
      <alignment horizontal="right" wrapText="1"/>
    </xf>
    <xf numFmtId="3" fontId="0" fillId="0" borderId="0" xfId="0" applyNumberFormat="1" applyFill="1" applyAlignment="1">
      <alignment horizontal="center" vertical="center" wrapText="1"/>
    </xf>
    <xf numFmtId="0" fontId="9" fillId="0" borderId="0" xfId="0" applyFont="1" applyFill="1" applyAlignment="1">
      <alignment horizontal="right" vertical="center" wrapText="1"/>
    </xf>
    <xf numFmtId="0" fontId="0" fillId="0" borderId="0" xfId="0" applyFill="1" applyAlignment="1">
      <alignment wrapText="1"/>
    </xf>
    <xf numFmtId="0" fontId="6" fillId="0" borderId="0" xfId="0" applyFont="1" applyAlignment="1">
      <alignment horizontal="left" wrapText="1"/>
    </xf>
    <xf numFmtId="3" fontId="0" fillId="0" borderId="17" xfId="0" applyNumberFormat="1" applyFont="1" applyFill="1" applyBorder="1" applyAlignment="1">
      <alignment horizontal="center" wrapText="1"/>
    </xf>
    <xf numFmtId="0" fontId="1" fillId="0" borderId="15" xfId="0" applyFont="1" applyFill="1" applyBorder="1" applyAlignment="1">
      <alignment horizontal="right"/>
    </xf>
    <xf numFmtId="0" fontId="1" fillId="0" borderId="5" xfId="0" applyFont="1" applyBorder="1"/>
    <xf numFmtId="0" fontId="6" fillId="0" borderId="0" xfId="0" applyFont="1" applyAlignment="1">
      <alignment horizontal="left"/>
    </xf>
    <xf numFmtId="165" fontId="0" fillId="0" borderId="0" xfId="0" applyNumberFormat="1"/>
    <xf numFmtId="0" fontId="1" fillId="0" borderId="1" xfId="0" applyFont="1" applyBorder="1"/>
    <xf numFmtId="0" fontId="0" fillId="0" borderId="0" xfId="0" applyFill="1" applyBorder="1"/>
    <xf numFmtId="10" fontId="0" fillId="0" borderId="0" xfId="0" applyNumberFormat="1" applyBorder="1"/>
    <xf numFmtId="0" fontId="6" fillId="0" borderId="0" xfId="0" applyFont="1" applyBorder="1" applyAlignment="1">
      <alignment horizontal="left" wrapText="1"/>
    </xf>
    <xf numFmtId="0" fontId="6" fillId="0" borderId="0" xfId="0" applyFont="1" applyBorder="1" applyAlignment="1"/>
    <xf numFmtId="0" fontId="0" fillId="0" borderId="7" xfId="0" applyBorder="1"/>
    <xf numFmtId="3" fontId="1" fillId="0" borderId="0" xfId="0" applyNumberFormat="1" applyFont="1" applyFill="1" applyBorder="1" applyAlignment="1">
      <alignment horizontal="center" wrapText="1"/>
    </xf>
    <xf numFmtId="3" fontId="6" fillId="0" borderId="0" xfId="0" applyNumberFormat="1" applyFont="1" applyFill="1" applyBorder="1" applyAlignment="1">
      <alignment wrapText="1"/>
    </xf>
    <xf numFmtId="3" fontId="6" fillId="0" borderId="0" xfId="0" applyNumberFormat="1" applyFont="1" applyFill="1" applyBorder="1" applyAlignment="1"/>
    <xf numFmtId="0" fontId="1" fillId="0" borderId="28" xfId="0" applyFont="1" applyBorder="1" applyAlignment="1">
      <alignment wrapText="1"/>
    </xf>
    <xf numFmtId="0" fontId="6" fillId="2" borderId="0" xfId="0" applyFont="1" applyFill="1" applyBorder="1" applyAlignment="1">
      <alignment wrapText="1"/>
    </xf>
    <xf numFmtId="0" fontId="11" fillId="0" borderId="23" xfId="0" applyFont="1" applyFill="1" applyBorder="1" applyAlignment="1"/>
    <xf numFmtId="0" fontId="6" fillId="2" borderId="0" xfId="0" applyFont="1" applyFill="1" applyAlignment="1">
      <alignment horizontal="left" wrapText="1"/>
    </xf>
    <xf numFmtId="0" fontId="0" fillId="0" borderId="0" xfId="0" applyFill="1" applyAlignment="1">
      <alignment horizontal="left" vertical="center" wrapText="1"/>
    </xf>
    <xf numFmtId="0" fontId="0" fillId="0" borderId="0" xfId="0" applyFill="1"/>
    <xf numFmtId="9" fontId="0" fillId="0" borderId="22" xfId="0" applyNumberFormat="1" applyFill="1" applyBorder="1" applyAlignment="1">
      <alignment wrapText="1"/>
    </xf>
    <xf numFmtId="3" fontId="0" fillId="0" borderId="23" xfId="0" applyNumberFormat="1" applyFill="1" applyBorder="1" applyAlignment="1">
      <alignment wrapText="1"/>
    </xf>
    <xf numFmtId="10" fontId="0" fillId="0" borderId="0" xfId="0" applyNumberFormat="1" applyAlignment="1">
      <alignment horizontal="center" wrapText="1"/>
    </xf>
    <xf numFmtId="3" fontId="0" fillId="0" borderId="15" xfId="0" applyNumberFormat="1" applyBorder="1" applyAlignment="1">
      <alignment horizontal="center" wrapText="1"/>
    </xf>
    <xf numFmtId="164" fontId="0" fillId="0" borderId="15" xfId="0" applyNumberFormat="1" applyBorder="1" applyAlignment="1">
      <alignment horizontal="center" wrapText="1"/>
    </xf>
    <xf numFmtId="3" fontId="0" fillId="0" borderId="0" xfId="0" applyNumberFormat="1" applyBorder="1" applyAlignment="1">
      <alignment horizontal="center" wrapText="1"/>
    </xf>
    <xf numFmtId="164" fontId="0" fillId="0" borderId="0" xfId="0" applyNumberFormat="1" applyAlignment="1">
      <alignment horizontal="center" wrapText="1"/>
    </xf>
    <xf numFmtId="164" fontId="1" fillId="0" borderId="2" xfId="0" applyNumberFormat="1" applyFont="1" applyBorder="1" applyAlignment="1">
      <alignment horizontal="center" wrapText="1"/>
    </xf>
    <xf numFmtId="164" fontId="1" fillId="0" borderId="3" xfId="0" applyNumberFormat="1" applyFont="1" applyBorder="1" applyAlignment="1">
      <alignment horizont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cellXfs>
  <cellStyles count="3">
    <cellStyle name="Hyperlink" xfId="1" builtinId="8"/>
    <cellStyle name="Normal" xfId="0" builtinId="0"/>
    <cellStyle name="Normal 2" xfId="2"/>
  </cellStyles>
  <dxfs count="3">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d.int/doc/meetings/sbstta/sbstta-20/information/sbstta-20-inf-67-en.pdf" TargetMode="External"/><Relationship Id="rId2" Type="http://schemas.openxmlformats.org/officeDocument/2006/relationships/hyperlink" Target="https://www.cbd.int/doc/meetings/sbstta/sbstta-20/information/sbstta-20-inf-66-en.pdf" TargetMode="External"/><Relationship Id="rId1" Type="http://schemas.openxmlformats.org/officeDocument/2006/relationships/hyperlink" Target="https://www.cbd.int/doc/meetings/sbstta/sbstta-20/information/sbstta-20-inf-65-en.pdf" TargetMode="External"/><Relationship Id="rId5" Type="http://schemas.openxmlformats.org/officeDocument/2006/relationships/printerSettings" Target="../printerSettings/printerSettings3.bin"/><Relationship Id="rId4" Type="http://schemas.openxmlformats.org/officeDocument/2006/relationships/hyperlink" Target="https://www.cbd.int/doc/meetings/pa/paws-2016-01/official/paws-2016-01-03-en.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hegef.org/project/implementing-ridge-reef-approach-protecting-biodiversity-and-ecosystem-functions-within-and" TargetMode="External"/><Relationship Id="rId13" Type="http://schemas.openxmlformats.org/officeDocument/2006/relationships/hyperlink" Target="https://www.thegef.org/project/resilient-islands-resilient-communities" TargetMode="External"/><Relationship Id="rId18" Type="http://schemas.openxmlformats.org/officeDocument/2006/relationships/hyperlink" Target="https://www.thegef.org/project/r2r-implementing-ridge-reef-approach-protect-biodiversity-and-ecosystem-functions" TargetMode="External"/><Relationship Id="rId3" Type="http://schemas.openxmlformats.org/officeDocument/2006/relationships/hyperlink" Target="https://www.thegef.org/project/chinas-protected-area-system-reform-c-par" TargetMode="External"/><Relationship Id="rId21" Type="http://schemas.openxmlformats.org/officeDocument/2006/relationships/hyperlink" Target="https://www.thegef.org/project/strengthening-network-new-protected-areas" TargetMode="External"/><Relationship Id="rId7" Type="http://schemas.openxmlformats.org/officeDocument/2006/relationships/hyperlink" Target="https://www.thegef.org/project/implementing-ridge-reef-approach-preserve-ecosystem-services-sequester-carbon-improve" TargetMode="External"/><Relationship Id="rId12" Type="http://schemas.openxmlformats.org/officeDocument/2006/relationships/hyperlink" Target="https://www.thegef.org/project/cti-coral-reef-rehabilitation-and-management-program-coral-triangle-initiative-phase-iii" TargetMode="External"/><Relationship Id="rId17" Type="http://schemas.openxmlformats.org/officeDocument/2006/relationships/hyperlink" Target="https://www.thegef.org/project/conserving-biodiversity-and-reducing-habitat-degradation-protected-areas-and-their-buffer" TargetMode="External"/><Relationship Id="rId2" Type="http://schemas.openxmlformats.org/officeDocument/2006/relationships/hyperlink" Target="https://www.thegef.org/project/increasing-representation-effectively-managed-marine-ecosystems-protected-area-system" TargetMode="External"/><Relationship Id="rId16" Type="http://schemas.openxmlformats.org/officeDocument/2006/relationships/hyperlink" Target="https://www.thegef.org/project/improving-management-effectiveness-protected-area-network" TargetMode="External"/><Relationship Id="rId20" Type="http://schemas.openxmlformats.org/officeDocument/2006/relationships/hyperlink" Target="https://www.thegef.org/project/lme-ea-coastal-resources-sustainable-development-mainstreaming-application-marine-spatial" TargetMode="External"/><Relationship Id="rId1" Type="http://schemas.openxmlformats.org/officeDocument/2006/relationships/hyperlink" Target="https://www.thegef.org/project/governance-strengthening-management-and-protection-coastal-marine-biodiversity-key" TargetMode="External"/><Relationship Id="rId6" Type="http://schemas.openxmlformats.org/officeDocument/2006/relationships/hyperlink" Target="https://www.thegef.org/project/integrated-management-marine-and-coastal-areas-high-value-biodiversity-continental-ecuador" TargetMode="External"/><Relationship Id="rId11" Type="http://schemas.openxmlformats.org/officeDocument/2006/relationships/hyperlink" Target="https://www.thegef.org/project/strengthening-sub-system-coastal-and-marine-protected-areas" TargetMode="External"/><Relationship Id="rId5" Type="http://schemas.openxmlformats.org/officeDocument/2006/relationships/hyperlink" Target="https://www.thegef.org/project/mitigating-key-sector-pressures-marine-and-coastal-biodiversity-and-further-strengthening" TargetMode="External"/><Relationship Id="rId15" Type="http://schemas.openxmlformats.org/officeDocument/2006/relationships/hyperlink" Target="https://www.thegef.org/project/expansion-and-strengthening-protected-area-subsystem-outer-islands-seychelles-and-its" TargetMode="External"/><Relationship Id="rId10" Type="http://schemas.openxmlformats.org/officeDocument/2006/relationships/hyperlink" Target="https://www.thegef.org/project/increasing-resilience-ecosystems-and-vulnerable-communities-cc-and-anthropic-threats-through" TargetMode="External"/><Relationship Id="rId19" Type="http://schemas.openxmlformats.org/officeDocument/2006/relationships/hyperlink" Target="https://www.thegef.org/project/r2r-integrated-sustainable-land-and-coastal-management" TargetMode="External"/><Relationship Id="rId4" Type="http://schemas.openxmlformats.org/officeDocument/2006/relationships/hyperlink" Target="https://www.thegef.org/project/creation-loungo-bay-marine-protected-area-support-turtles-conservation-congo" TargetMode="External"/><Relationship Id="rId9" Type="http://schemas.openxmlformats.org/officeDocument/2006/relationships/hyperlink" Target="https://www.thegef.org/project/conservation-and-sustainable-use-biodiversity-coastal-and-marine-protected-areas-mpas" TargetMode="External"/><Relationship Id="rId14" Type="http://schemas.openxmlformats.org/officeDocument/2006/relationships/hyperlink" Target="https://www.thegef.org/project/application-ridge-reef-concept-biodiversity-conservation-and-enhancement-ecosystem-service"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oceanconference.un.org/commitments/?id=17134" TargetMode="External"/><Relationship Id="rId13" Type="http://schemas.openxmlformats.org/officeDocument/2006/relationships/hyperlink" Target="https://oceanconference.un.org/commitments/?id=19138" TargetMode="External"/><Relationship Id="rId18" Type="http://schemas.openxmlformats.org/officeDocument/2006/relationships/hyperlink" Target="https://oceanconference.un.org/commitments/?id=20772" TargetMode="External"/><Relationship Id="rId26" Type="http://schemas.openxmlformats.org/officeDocument/2006/relationships/hyperlink" Target="https://oceanconference.un.org/commitments/?id=21472" TargetMode="External"/><Relationship Id="rId3" Type="http://schemas.openxmlformats.org/officeDocument/2006/relationships/hyperlink" Target="https://oceanconference.un.org/commitments/?id=15593" TargetMode="External"/><Relationship Id="rId21" Type="http://schemas.openxmlformats.org/officeDocument/2006/relationships/hyperlink" Target="https://oceanconference.un.org/commitments/?id=18259" TargetMode="External"/><Relationship Id="rId7" Type="http://schemas.openxmlformats.org/officeDocument/2006/relationships/hyperlink" Target="https://oceanconference.un.org/commitments/?id=16178" TargetMode="External"/><Relationship Id="rId12" Type="http://schemas.openxmlformats.org/officeDocument/2006/relationships/hyperlink" Target="https://oceanconference.un.org/commitments/?id=18379" TargetMode="External"/><Relationship Id="rId17" Type="http://schemas.openxmlformats.org/officeDocument/2006/relationships/hyperlink" Target="https://oceanconference.un.org/commitments/?id=20492" TargetMode="External"/><Relationship Id="rId25" Type="http://schemas.openxmlformats.org/officeDocument/2006/relationships/hyperlink" Target="https://oceanconference.un.org/commitments/?id=21468" TargetMode="External"/><Relationship Id="rId2" Type="http://schemas.openxmlformats.org/officeDocument/2006/relationships/hyperlink" Target="https://oceanconference.un.org/commitments/?id=14548" TargetMode="External"/><Relationship Id="rId16" Type="http://schemas.openxmlformats.org/officeDocument/2006/relationships/hyperlink" Target="https://oceanconference.un.org/commitments/?id=20269" TargetMode="External"/><Relationship Id="rId20" Type="http://schemas.openxmlformats.org/officeDocument/2006/relationships/hyperlink" Target="https://oceanconference.un.org/commitments/?id=21256" TargetMode="External"/><Relationship Id="rId1" Type="http://schemas.openxmlformats.org/officeDocument/2006/relationships/hyperlink" Target="https://oceanconference.un.org/commitments/?id=15701" TargetMode="External"/><Relationship Id="rId6" Type="http://schemas.openxmlformats.org/officeDocument/2006/relationships/hyperlink" Target="https://oceanconference.un.org/commitments/?id=16038" TargetMode="External"/><Relationship Id="rId11" Type="http://schemas.openxmlformats.org/officeDocument/2006/relationships/hyperlink" Target="https://oceanconference.un.org/commitments/?id=18211" TargetMode="External"/><Relationship Id="rId24" Type="http://schemas.openxmlformats.org/officeDocument/2006/relationships/hyperlink" Target="https://oceanconference.un.org/commitments/?id=20294" TargetMode="External"/><Relationship Id="rId5" Type="http://schemas.openxmlformats.org/officeDocument/2006/relationships/hyperlink" Target="https://oceanconference.un.org/commitments/?id=15763" TargetMode="External"/><Relationship Id="rId15" Type="http://schemas.openxmlformats.org/officeDocument/2006/relationships/hyperlink" Target="https://oceanconference.un.org/commitments/?id=19899" TargetMode="External"/><Relationship Id="rId23" Type="http://schemas.openxmlformats.org/officeDocument/2006/relationships/hyperlink" Target="https://oceanconference.un.org/commitments/?id=16676" TargetMode="External"/><Relationship Id="rId10" Type="http://schemas.openxmlformats.org/officeDocument/2006/relationships/hyperlink" Target="https://oceanconference.un.org/commitments/?id=18172" TargetMode="External"/><Relationship Id="rId19" Type="http://schemas.openxmlformats.org/officeDocument/2006/relationships/hyperlink" Target="https://oceanconference.un.org/commitments/?id=21136" TargetMode="External"/><Relationship Id="rId4" Type="http://schemas.openxmlformats.org/officeDocument/2006/relationships/hyperlink" Target="https://oceanconference.un.org/commitments/?id=15560" TargetMode="External"/><Relationship Id="rId9" Type="http://schemas.openxmlformats.org/officeDocument/2006/relationships/hyperlink" Target="https://oceanconference.un.org/commitments/?id=18142" TargetMode="External"/><Relationship Id="rId14" Type="http://schemas.openxmlformats.org/officeDocument/2006/relationships/hyperlink" Target="https://oceanconference.un.org/commitments/?id=19158" TargetMode="External"/><Relationship Id="rId22" Type="http://schemas.openxmlformats.org/officeDocument/2006/relationships/hyperlink" Target="https://oceanconference.un.org/commitments/?id=19023" TargetMode="External"/><Relationship Id="rId27"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ids2014.org/partnerships/?p=7687" TargetMode="External"/><Relationship Id="rId3" Type="http://schemas.openxmlformats.org/officeDocument/2006/relationships/hyperlink" Target="https://www.gov.uk/government/news/uk-set-to-protect-four-million-square-kilometres-of-ocean" TargetMode="External"/><Relationship Id="rId7" Type="http://schemas.openxmlformats.org/officeDocument/2006/relationships/hyperlink" Target="https://www.scribd.com/document/279510696/Ante-Propuesta-de-Conservacion-Marina-Mesa-Del-Mar-Sept-2015" TargetMode="External"/><Relationship Id="rId12" Type="http://schemas.openxmlformats.org/officeDocument/2006/relationships/printerSettings" Target="../printerSettings/printerSettings6.bin"/><Relationship Id="rId2" Type="http://schemas.openxmlformats.org/officeDocument/2006/relationships/hyperlink" Target="https://www.ccamlr.org/en/news/2016/ccamlr%E2%80%99s-35th-annual-meeting-%E2%80%93-more-creation-world%E2%80%99s-largest-mpa" TargetMode="External"/><Relationship Id="rId1" Type="http://schemas.openxmlformats.org/officeDocument/2006/relationships/hyperlink" Target="https://www.ccamlr.org/en/measure-91-05-2016" TargetMode="External"/><Relationship Id="rId6" Type="http://schemas.openxmlformats.org/officeDocument/2006/relationships/hyperlink" Target="https://portals.iucn.org/congress/sites/congress/files/EN%20Navigating%20Island%20Earth%20-%20Hawaii%20Commitments_FINAL.PDF" TargetMode="External"/><Relationship Id="rId11" Type="http://schemas.openxmlformats.org/officeDocument/2006/relationships/hyperlink" Target="http://ourocean2016.org/commitments/" TargetMode="External"/><Relationship Id="rId5" Type="http://schemas.openxmlformats.org/officeDocument/2006/relationships/hyperlink" Target="http://www.sprep.org/biodiversity-ecosystems-management/fiji-on-target-to-meeting-global-aichi-targets-on-biodiversity" TargetMode="External"/><Relationship Id="rId10" Type="http://schemas.openxmlformats.org/officeDocument/2006/relationships/hyperlink" Target="http://seymsp.com/wp-content/uploads/2014/06/PA-Policy_OCT_2013.pdf" TargetMode="External"/><Relationship Id="rId4" Type="http://schemas.openxmlformats.org/officeDocument/2006/relationships/hyperlink" Target="http://www.icontact-archive.com/_G6mgYNYIKvARAAPom9ntQxIEN5CcH78?w=2" TargetMode="External"/><Relationship Id="rId9" Type="http://schemas.openxmlformats.org/officeDocument/2006/relationships/hyperlink" Target="http://www.sids2014.org/index.php?page=view&amp;type=2017&amp;nr=12&amp;template=978&amp;menu=1601"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caribbeanchallengeinitiative.org/" TargetMode="External"/><Relationship Id="rId1" Type="http://schemas.openxmlformats.org/officeDocument/2006/relationships/hyperlink" Target="http://themicronesiachallenge.blogspot.ca/p/about.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bd.int/doc/world/br/br-nbsap-v3-en.pdf" TargetMode="External"/><Relationship Id="rId13" Type="http://schemas.openxmlformats.org/officeDocument/2006/relationships/hyperlink" Target="https://www.cbd.int/doc/world/er/er-nbsap-v2-en.pdf" TargetMode="External"/><Relationship Id="rId18" Type="http://schemas.openxmlformats.org/officeDocument/2006/relationships/hyperlink" Target="https://www.cbd.int/doc/world/gn/gn-nbsap-v2-fr.pdf" TargetMode="External"/><Relationship Id="rId26" Type="http://schemas.openxmlformats.org/officeDocument/2006/relationships/hyperlink" Target="https://www.cbd.int/doc/world/ru/ru-nbsap-v2-en.pdf" TargetMode="External"/><Relationship Id="rId3" Type="http://schemas.openxmlformats.org/officeDocument/2006/relationships/hyperlink" Target="https://www.cbd.int/doc/world/ag/ag-nbsap-01-en.pdf" TargetMode="External"/><Relationship Id="rId21" Type="http://schemas.openxmlformats.org/officeDocument/2006/relationships/hyperlink" Target="https://www.cbd.int/doc/world/jo/jo-nbsap-v2-en.pdf" TargetMode="External"/><Relationship Id="rId34" Type="http://schemas.openxmlformats.org/officeDocument/2006/relationships/hyperlink" Target="https://www.cbd.int/doc/world/uy/uy-nbsap-v2-es.pdf" TargetMode="External"/><Relationship Id="rId7" Type="http://schemas.openxmlformats.org/officeDocument/2006/relationships/hyperlink" Target="https://www.cbd.int/doc/world/bj/bj-nbsap-v2-fr.pdf" TargetMode="External"/><Relationship Id="rId12" Type="http://schemas.openxmlformats.org/officeDocument/2006/relationships/hyperlink" Target="https://www.cbd.int/doc/world/dm/dm-nbsap-v2-en.pdf" TargetMode="External"/><Relationship Id="rId17" Type="http://schemas.openxmlformats.org/officeDocument/2006/relationships/hyperlink" Target="https://www.cbd.int/doc/world/gd/gd-nbsap-v2-en.pdf" TargetMode="External"/><Relationship Id="rId25" Type="http://schemas.openxmlformats.org/officeDocument/2006/relationships/hyperlink" Target="https://www.cbd.int/doc/world/kr/kr-nbsap-v3-en.pdf" TargetMode="External"/><Relationship Id="rId33" Type="http://schemas.openxmlformats.org/officeDocument/2006/relationships/hyperlink" Target="https://www.cbd.int/doc/world/tz/tz-nbsap-v2-en.pdf" TargetMode="External"/><Relationship Id="rId2" Type="http://schemas.openxmlformats.org/officeDocument/2006/relationships/hyperlink" Target="https://www.cbd.int/doc/world/al/al-nbsap-v2-en.pdf" TargetMode="External"/><Relationship Id="rId16" Type="http://schemas.openxmlformats.org/officeDocument/2006/relationships/hyperlink" Target="https://www.cbd.int/doc/world/ge/ge-nr-05-en.pdf" TargetMode="External"/><Relationship Id="rId20" Type="http://schemas.openxmlformats.org/officeDocument/2006/relationships/hyperlink" Target="https://www.cbd.int/doc/world/jp/jp-nbsap-v5-en.pdf" TargetMode="External"/><Relationship Id="rId29" Type="http://schemas.openxmlformats.org/officeDocument/2006/relationships/hyperlink" Target="https://www.cbd.int/doc/world/sb/sb-nbsap-v2-en.pdf" TargetMode="External"/><Relationship Id="rId1" Type="http://schemas.openxmlformats.org/officeDocument/2006/relationships/hyperlink" Target="https://www.cbd.int/doc/world/cu/cu-nbsap-v3-es.pdf" TargetMode="External"/><Relationship Id="rId6" Type="http://schemas.openxmlformats.org/officeDocument/2006/relationships/hyperlink" Target="https://www.cbd.int/doc/world/be/be-nr-05-en.pdf" TargetMode="External"/><Relationship Id="rId11" Type="http://schemas.openxmlformats.org/officeDocument/2006/relationships/hyperlink" Target="https://www.cbd.int/doc/world/cg/cg-nbsap-v2-fr.pdf" TargetMode="External"/><Relationship Id="rId24" Type="http://schemas.openxmlformats.org/officeDocument/2006/relationships/hyperlink" Target="https://www.cbd.int/doc/world/nz/nz-nbsap-v2-en.pdf" TargetMode="External"/><Relationship Id="rId32" Type="http://schemas.openxmlformats.org/officeDocument/2006/relationships/hyperlink" Target="https://www.cbd.int/doc/world/ua/ua-nbsap-v3-en.pdf" TargetMode="External"/><Relationship Id="rId37" Type="http://schemas.openxmlformats.org/officeDocument/2006/relationships/printerSettings" Target="../printerSettings/printerSettings8.bin"/><Relationship Id="rId5" Type="http://schemas.openxmlformats.org/officeDocument/2006/relationships/hyperlink" Target="https://www.cbd.int/doc/world/bh/bh-nbsap-v2-en.pdf" TargetMode="External"/><Relationship Id="rId15" Type="http://schemas.openxmlformats.org/officeDocument/2006/relationships/hyperlink" Target="https://www.cbd.int/doc/world/gm/gm-nbsap-v2-en.pdf" TargetMode="External"/><Relationship Id="rId23" Type="http://schemas.openxmlformats.org/officeDocument/2006/relationships/hyperlink" Target="https://www.cbd.int/doc/world/ma/ma-nbsap-v3-fr.pdf" TargetMode="External"/><Relationship Id="rId28" Type="http://schemas.openxmlformats.org/officeDocument/2006/relationships/hyperlink" Target="https://www.cbd.int/doc/world/sc/sc-nbsap-v2-en.pdf" TargetMode="External"/><Relationship Id="rId36" Type="http://schemas.openxmlformats.org/officeDocument/2006/relationships/hyperlink" Target="https://www.cbd.int/doc/world/az/az-nbsap-v2-en.pdf" TargetMode="External"/><Relationship Id="rId10" Type="http://schemas.openxmlformats.org/officeDocument/2006/relationships/hyperlink" Target="https://www.cbd.int/countries/targets/?country=ca" TargetMode="External"/><Relationship Id="rId19" Type="http://schemas.openxmlformats.org/officeDocument/2006/relationships/hyperlink" Target="https://www.cbd.int/doc/world/jm/jm-nbsap-v2-en.pdf" TargetMode="External"/><Relationship Id="rId31" Type="http://schemas.openxmlformats.org/officeDocument/2006/relationships/hyperlink" Target="https://www.cbd.int/doc/world/se/se-nbsap-v3-en.pdf" TargetMode="External"/><Relationship Id="rId4" Type="http://schemas.openxmlformats.org/officeDocument/2006/relationships/hyperlink" Target="https://www.cbd.int/doc/world/ar/ar-nbsap-v2-es.pdf" TargetMode="External"/><Relationship Id="rId9" Type="http://schemas.openxmlformats.org/officeDocument/2006/relationships/hyperlink" Target="https://www.cbd.int/doc/world/kh/kh-nbsap-v2-en.pdf" TargetMode="External"/><Relationship Id="rId14" Type="http://schemas.openxmlformats.org/officeDocument/2006/relationships/hyperlink" Target="https://www.cbd.int/doc/world/fi/fi-nbsap-v3-p1-en.pdf" TargetMode="External"/><Relationship Id="rId22" Type="http://schemas.openxmlformats.org/officeDocument/2006/relationships/hyperlink" Target="https://www.cbd.int/doc/world/mx/mx-nbsap-v2-es.pdf" TargetMode="External"/><Relationship Id="rId27" Type="http://schemas.openxmlformats.org/officeDocument/2006/relationships/hyperlink" Target="https://www.cbd.int/doc/world/ws/ws-nbsap-v2-en.pdf" TargetMode="External"/><Relationship Id="rId30" Type="http://schemas.openxmlformats.org/officeDocument/2006/relationships/hyperlink" Target="https://www.cbd.int/doc/world/sd/sd-nbsap-v2-en.pdf" TargetMode="External"/><Relationship Id="rId35" Type="http://schemas.openxmlformats.org/officeDocument/2006/relationships/hyperlink" Target="https://www.cbd.int/doc/world/vn/vn-nbsap-v3-en.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7" sqref="A17"/>
    </sheetView>
  </sheetViews>
  <sheetFormatPr defaultRowHeight="15" x14ac:dyDescent="0.25"/>
  <cols>
    <col min="1" max="1" width="173.7109375" customWidth="1"/>
  </cols>
  <sheetData>
    <row r="1" spans="1:1" ht="18.75" x14ac:dyDescent="0.3">
      <c r="A1" s="1" t="s">
        <v>0</v>
      </c>
    </row>
    <row r="3" spans="1:1" ht="60" x14ac:dyDescent="0.25">
      <c r="A3" s="180" t="s">
        <v>426</v>
      </c>
    </row>
    <row r="4" spans="1:1" ht="45" x14ac:dyDescent="0.25">
      <c r="A4" s="181" t="s">
        <v>427</v>
      </c>
    </row>
    <row r="5" spans="1:1" ht="60" x14ac:dyDescent="0.25">
      <c r="A5" s="3" t="s">
        <v>484</v>
      </c>
    </row>
    <row r="6" spans="1:1" ht="17.25" x14ac:dyDescent="0.25">
      <c r="A6" t="s">
        <v>216</v>
      </c>
    </row>
    <row r="7" spans="1:1" ht="45" x14ac:dyDescent="0.25">
      <c r="A7" s="204" t="s">
        <v>372</v>
      </c>
    </row>
    <row r="8" spans="1:1" ht="45" x14ac:dyDescent="0.25">
      <c r="A8" s="224" t="s">
        <v>428</v>
      </c>
    </row>
    <row r="9" spans="1:1" x14ac:dyDescent="0.25">
      <c r="A9" s="225"/>
    </row>
    <row r="10" spans="1:1" ht="32.25" customHeight="1" x14ac:dyDescent="0.25">
      <c r="A10" s="2" t="s">
        <v>500</v>
      </c>
    </row>
    <row r="11" spans="1:1" ht="45" x14ac:dyDescent="0.25">
      <c r="A11" s="2" t="s">
        <v>424</v>
      </c>
    </row>
    <row r="12" spans="1:1" x14ac:dyDescent="0.25">
      <c r="A12" s="2" t="s">
        <v>371</v>
      </c>
    </row>
    <row r="13" spans="1:1" ht="30" x14ac:dyDescent="0.25">
      <c r="A13" s="3" t="s">
        <v>499</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D22" sqref="D22"/>
    </sheetView>
  </sheetViews>
  <sheetFormatPr defaultRowHeight="15" x14ac:dyDescent="0.25"/>
  <cols>
    <col min="1" max="1" width="48" style="3" customWidth="1"/>
    <col min="2" max="2" width="16.7109375" style="3" customWidth="1"/>
    <col min="3" max="3" width="16.5703125" style="3" customWidth="1"/>
    <col min="4" max="4" width="12.85546875" style="3" customWidth="1"/>
    <col min="5" max="5" width="11.7109375" style="3" customWidth="1"/>
    <col min="6" max="6" width="12.7109375" style="3" customWidth="1"/>
    <col min="7" max="7" width="11.5703125" style="3" bestFit="1" customWidth="1"/>
    <col min="8" max="16384" width="9.140625" style="3"/>
  </cols>
  <sheetData>
    <row r="1" spans="1:7" ht="48" customHeight="1" thickBot="1" x14ac:dyDescent="0.3">
      <c r="A1" s="13" t="s">
        <v>75</v>
      </c>
      <c r="B1" s="182" t="s">
        <v>495</v>
      </c>
      <c r="C1" s="182" t="s">
        <v>496</v>
      </c>
      <c r="D1" s="182" t="s">
        <v>429</v>
      </c>
      <c r="E1" s="182" t="s">
        <v>436</v>
      </c>
    </row>
    <row r="2" spans="1:7" x14ac:dyDescent="0.25">
      <c r="A2" s="14" t="s">
        <v>430</v>
      </c>
      <c r="B2" s="80">
        <f>'Priority Actions'!C29</f>
        <v>353258.16132790042</v>
      </c>
      <c r="C2" s="80">
        <v>0</v>
      </c>
      <c r="D2" s="228">
        <f t="shared" ref="D2:D7" si="0">B2/141195956</f>
        <v>2.5018999929990941E-3</v>
      </c>
      <c r="E2" s="228">
        <f t="shared" ref="E2:E7" si="1">(B2+C2)/362330525</f>
        <v>9.7496108374501547E-4</v>
      </c>
      <c r="F2" s="17"/>
    </row>
    <row r="3" spans="1:7" x14ac:dyDescent="0.25">
      <c r="A3" s="15" t="s">
        <v>431</v>
      </c>
      <c r="B3" s="80">
        <f>'GEF projects'!B24</f>
        <v>315439.08</v>
      </c>
      <c r="C3" s="80">
        <v>0</v>
      </c>
      <c r="D3" s="228">
        <f t="shared" si="0"/>
        <v>2.2340518024468068E-3</v>
      </c>
      <c r="E3" s="228">
        <f t="shared" si="1"/>
        <v>8.7058378534350645E-4</v>
      </c>
      <c r="F3" s="17"/>
    </row>
    <row r="4" spans="1:7" ht="15" customHeight="1" x14ac:dyDescent="0.25">
      <c r="A4" s="167" t="s">
        <v>432</v>
      </c>
      <c r="B4" s="80">
        <f>'Ocean Conf commitments'!B28</f>
        <v>6092996.1129000001</v>
      </c>
      <c r="C4" s="80">
        <v>1800000</v>
      </c>
      <c r="D4" s="228">
        <f t="shared" si="0"/>
        <v>4.3152766449628344E-2</v>
      </c>
      <c r="E4" s="228">
        <f t="shared" si="1"/>
        <v>2.1783966760459943E-2</v>
      </c>
      <c r="F4" s="17"/>
      <c r="G4" s="17"/>
    </row>
    <row r="5" spans="1:7" x14ac:dyDescent="0.25">
      <c r="A5" s="3" t="s">
        <v>425</v>
      </c>
      <c r="B5" s="80">
        <f>'Other LMPAs'!B10</f>
        <v>1931408.8099999998</v>
      </c>
      <c r="C5" s="80">
        <v>1550000</v>
      </c>
      <c r="D5" s="228">
        <f t="shared" si="0"/>
        <v>1.3678924416220531E-2</v>
      </c>
      <c r="E5" s="228">
        <f t="shared" si="1"/>
        <v>9.6083784550032043E-3</v>
      </c>
      <c r="F5" s="17"/>
      <c r="G5" s="17"/>
    </row>
    <row r="6" spans="1:7" x14ac:dyDescent="0.25">
      <c r="A6" s="15" t="s">
        <v>76</v>
      </c>
      <c r="B6" s="80">
        <f>'M and C Challenges'!C27</f>
        <v>272548.55436568963</v>
      </c>
      <c r="C6" s="80">
        <v>0</v>
      </c>
      <c r="D6" s="228">
        <f t="shared" si="0"/>
        <v>1.9302858388216843E-3</v>
      </c>
      <c r="E6" s="228">
        <f t="shared" si="1"/>
        <v>7.5220975203700992E-4</v>
      </c>
      <c r="F6" s="17"/>
    </row>
    <row r="7" spans="1:7" x14ac:dyDescent="0.25">
      <c r="A7" s="3" t="s">
        <v>433</v>
      </c>
      <c r="B7" s="80">
        <f>NBSAPs!D40</f>
        <v>2004710.3926319114</v>
      </c>
      <c r="C7" s="80">
        <v>0</v>
      </c>
      <c r="D7" s="228">
        <f t="shared" si="0"/>
        <v>1.4198072306206216E-2</v>
      </c>
      <c r="E7" s="228">
        <f t="shared" si="1"/>
        <v>5.5328222556791521E-3</v>
      </c>
      <c r="F7" s="17"/>
    </row>
    <row r="8" spans="1:7" x14ac:dyDescent="0.25">
      <c r="B8" s="80"/>
      <c r="C8" s="80"/>
      <c r="D8" s="48"/>
      <c r="E8" s="48"/>
    </row>
    <row r="9" spans="1:7" x14ac:dyDescent="0.25">
      <c r="A9" s="220" t="s">
        <v>434</v>
      </c>
      <c r="B9" s="229">
        <f>SUM(B2:B7)</f>
        <v>10970361.111225501</v>
      </c>
      <c r="C9" s="229">
        <f>SUM(C2:C7)</f>
        <v>3350000</v>
      </c>
      <c r="D9" s="230">
        <f>SUM(D2:D7)</f>
        <v>7.7696000806322676E-2</v>
      </c>
      <c r="E9" s="230">
        <f>SUM(E2:E7)</f>
        <v>3.9522922092267834E-2</v>
      </c>
    </row>
    <row r="10" spans="1:7" ht="15.75" thickBot="1" x14ac:dyDescent="0.3">
      <c r="A10" s="177" t="s">
        <v>501</v>
      </c>
      <c r="B10" s="231"/>
      <c r="C10" s="231"/>
      <c r="D10" s="232">
        <v>0.15892438</v>
      </c>
      <c r="E10" s="232">
        <v>6.3480869999999995E-2</v>
      </c>
    </row>
    <row r="11" spans="1:7" ht="15.75" thickBot="1" x14ac:dyDescent="0.3">
      <c r="A11" s="85" t="s">
        <v>435</v>
      </c>
      <c r="B11" s="48"/>
      <c r="C11" s="48"/>
      <c r="D11" s="233">
        <f>D9+D10</f>
        <v>0.23662038080632269</v>
      </c>
      <c r="E11" s="234">
        <f>E9+E10</f>
        <v>0.10300379209226783</v>
      </c>
    </row>
    <row r="12" spans="1:7" x14ac:dyDescent="0.25">
      <c r="D12" s="164"/>
      <c r="E12" s="164"/>
    </row>
    <row r="13" spans="1:7" x14ac:dyDescent="0.25">
      <c r="D13" s="164"/>
      <c r="E13" s="164"/>
    </row>
    <row r="14" spans="1:7" x14ac:dyDescent="0.25">
      <c r="D14" s="16"/>
      <c r="E14" s="16"/>
    </row>
    <row r="15" spans="1:7" x14ac:dyDescent="0.25">
      <c r="B15" s="17"/>
      <c r="C15" s="17"/>
    </row>
    <row r="24" spans="1:7" x14ac:dyDescent="0.25">
      <c r="G24" s="64"/>
    </row>
    <row r="25" spans="1:7" x14ac:dyDescent="0.25">
      <c r="G25" s="64"/>
    </row>
    <row r="26" spans="1:7" x14ac:dyDescent="0.25">
      <c r="G26" s="64"/>
    </row>
    <row r="27" spans="1:7" x14ac:dyDescent="0.25">
      <c r="G27" s="64"/>
    </row>
    <row r="28" spans="1:7" ht="16.5" customHeight="1" x14ac:dyDescent="0.25">
      <c r="G28" s="64"/>
    </row>
    <row r="29" spans="1:7" x14ac:dyDescent="0.25">
      <c r="A29" s="64"/>
      <c r="B29" s="64"/>
      <c r="C29" s="64"/>
      <c r="D29" s="64"/>
      <c r="E29" s="64"/>
      <c r="F29" s="64"/>
      <c r="G29" s="64"/>
    </row>
    <row r="30" spans="1:7" x14ac:dyDescent="0.25">
      <c r="A30" s="64"/>
      <c r="B30" s="64"/>
      <c r="C30" s="64"/>
      <c r="D30" s="64"/>
      <c r="E30" s="64"/>
      <c r="F30" s="64"/>
      <c r="G30" s="64"/>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workbookViewId="0">
      <selection activeCell="E14" sqref="E14"/>
    </sheetView>
  </sheetViews>
  <sheetFormatPr defaultRowHeight="15" x14ac:dyDescent="0.25"/>
  <cols>
    <col min="1" max="1" width="15.7109375" style="3" customWidth="1"/>
    <col min="2" max="2" width="90.5703125" style="3" customWidth="1"/>
    <col min="3" max="3" width="12.28515625" customWidth="1"/>
    <col min="4" max="4" width="19.85546875" customWidth="1"/>
  </cols>
  <sheetData>
    <row r="1" spans="1:4" ht="15" customHeight="1" x14ac:dyDescent="0.25">
      <c r="A1" s="235" t="s">
        <v>437</v>
      </c>
      <c r="B1" s="236"/>
      <c r="C1" s="20" t="s">
        <v>77</v>
      </c>
      <c r="D1" s="21"/>
    </row>
    <row r="2" spans="1:4" x14ac:dyDescent="0.25">
      <c r="A2" s="237"/>
      <c r="B2" s="238"/>
      <c r="C2" s="22" t="s">
        <v>78</v>
      </c>
      <c r="D2" s="23"/>
    </row>
    <row r="3" spans="1:4" x14ac:dyDescent="0.25">
      <c r="A3" s="237"/>
      <c r="B3" s="238"/>
      <c r="C3" s="22" t="s">
        <v>79</v>
      </c>
      <c r="D3" s="23"/>
    </row>
    <row r="4" spans="1:4" x14ac:dyDescent="0.25">
      <c r="A4" s="24"/>
      <c r="B4" s="25"/>
      <c r="C4" s="26" t="s">
        <v>80</v>
      </c>
      <c r="D4" s="27"/>
    </row>
    <row r="5" spans="1:4" ht="43.5" customHeight="1" thickBot="1" x14ac:dyDescent="0.3">
      <c r="A5" s="4" t="s">
        <v>1</v>
      </c>
      <c r="B5" s="4" t="s">
        <v>488</v>
      </c>
      <c r="C5" s="184" t="s">
        <v>462</v>
      </c>
      <c r="D5" s="184" t="s">
        <v>164</v>
      </c>
    </row>
    <row r="6" spans="1:4" ht="26.25" x14ac:dyDescent="0.25">
      <c r="A6" s="9" t="s">
        <v>4</v>
      </c>
      <c r="B6" s="5" t="s">
        <v>5</v>
      </c>
      <c r="C6" s="218">
        <v>25000</v>
      </c>
      <c r="D6" s="6"/>
    </row>
    <row r="7" spans="1:4" ht="39" x14ac:dyDescent="0.25">
      <c r="A7" s="9" t="s">
        <v>6</v>
      </c>
      <c r="B7" s="5" t="s">
        <v>438</v>
      </c>
      <c r="C7" s="218">
        <f>8500-3968</f>
        <v>4532</v>
      </c>
      <c r="D7" s="7"/>
    </row>
    <row r="8" spans="1:4" x14ac:dyDescent="0.25">
      <c r="A8" s="9" t="s">
        <v>7</v>
      </c>
      <c r="B8" s="5" t="s">
        <v>439</v>
      </c>
      <c r="C8" s="218">
        <v>175000</v>
      </c>
      <c r="D8" s="7"/>
    </row>
    <row r="9" spans="1:4" ht="26.25" x14ac:dyDescent="0.25">
      <c r="A9" s="5" t="s">
        <v>8</v>
      </c>
      <c r="B9" s="5" t="s">
        <v>9</v>
      </c>
      <c r="C9" s="218">
        <v>5160.53</v>
      </c>
      <c r="D9" s="7"/>
    </row>
    <row r="10" spans="1:4" ht="26.25" x14ac:dyDescent="0.25">
      <c r="A10" s="5" t="s">
        <v>10</v>
      </c>
      <c r="B10" s="5" t="s">
        <v>485</v>
      </c>
      <c r="C10" s="218">
        <v>34718</v>
      </c>
      <c r="D10" s="16"/>
    </row>
    <row r="11" spans="1:4" x14ac:dyDescent="0.25">
      <c r="A11" s="9" t="s">
        <v>11</v>
      </c>
      <c r="B11" s="5" t="s">
        <v>441</v>
      </c>
      <c r="C11" s="218">
        <v>8065.5425613973985</v>
      </c>
      <c r="D11" s="16"/>
    </row>
    <row r="12" spans="1:4" ht="26.25" x14ac:dyDescent="0.25">
      <c r="A12" s="9" t="s">
        <v>12</v>
      </c>
      <c r="B12" s="5" t="s">
        <v>442</v>
      </c>
      <c r="C12" s="218">
        <v>4495</v>
      </c>
      <c r="D12" s="16"/>
    </row>
    <row r="13" spans="1:4" x14ac:dyDescent="0.25">
      <c r="A13" s="9" t="s">
        <v>13</v>
      </c>
      <c r="B13" s="5" t="s">
        <v>443</v>
      </c>
      <c r="C13" s="218">
        <v>14788</v>
      </c>
      <c r="D13" s="16"/>
    </row>
    <row r="14" spans="1:4" ht="26.25" x14ac:dyDescent="0.25">
      <c r="A14" s="5" t="s">
        <v>14</v>
      </c>
      <c r="B14" s="5" t="s">
        <v>440</v>
      </c>
      <c r="C14" s="218">
        <v>3605.94</v>
      </c>
      <c r="D14" s="16"/>
    </row>
    <row r="15" spans="1:4" ht="45.75" customHeight="1" x14ac:dyDescent="0.25">
      <c r="A15" s="9" t="s">
        <v>15</v>
      </c>
      <c r="B15" s="5" t="s">
        <v>456</v>
      </c>
      <c r="C15" s="218">
        <v>1572.5495999999998</v>
      </c>
      <c r="D15" s="16"/>
    </row>
    <row r="16" spans="1:4" x14ac:dyDescent="0.25">
      <c r="A16" s="5" t="s">
        <v>16</v>
      </c>
      <c r="B16" s="5" t="s">
        <v>444</v>
      </c>
      <c r="C16" s="218">
        <v>5000</v>
      </c>
      <c r="D16" s="16"/>
    </row>
    <row r="17" spans="1:4" x14ac:dyDescent="0.25">
      <c r="A17" s="9" t="s">
        <v>17</v>
      </c>
      <c r="B17" s="5" t="s">
        <v>74</v>
      </c>
      <c r="C17" s="218">
        <v>109.70416650299421</v>
      </c>
      <c r="D17" s="185" t="s">
        <v>502</v>
      </c>
    </row>
    <row r="18" spans="1:4" ht="26.25" x14ac:dyDescent="0.25">
      <c r="A18" s="9" t="s">
        <v>18</v>
      </c>
      <c r="B18" s="5" t="s">
        <v>445</v>
      </c>
      <c r="C18" s="218">
        <v>1891</v>
      </c>
      <c r="D18" s="16"/>
    </row>
    <row r="19" spans="1:4" x14ac:dyDescent="0.25">
      <c r="A19" s="5" t="s">
        <v>19</v>
      </c>
      <c r="B19" s="5" t="s">
        <v>446</v>
      </c>
      <c r="C19" s="218">
        <v>12132.335000000003</v>
      </c>
      <c r="D19" s="185" t="s">
        <v>455</v>
      </c>
    </row>
    <row r="20" spans="1:4" x14ac:dyDescent="0.25">
      <c r="A20" s="18" t="s">
        <v>20</v>
      </c>
      <c r="B20" s="8" t="s">
        <v>486</v>
      </c>
      <c r="C20" s="218">
        <v>9000</v>
      </c>
      <c r="D20" s="16"/>
    </row>
    <row r="21" spans="1:4" ht="38.25" x14ac:dyDescent="0.25">
      <c r="A21" s="9" t="s">
        <v>21</v>
      </c>
      <c r="B21" s="9" t="s">
        <v>487</v>
      </c>
      <c r="C21" s="218">
        <f>26744.1-879.7</f>
        <v>25864.399999999998</v>
      </c>
      <c r="D21" s="185" t="s">
        <v>503</v>
      </c>
    </row>
    <row r="22" spans="1:4" x14ac:dyDescent="0.25">
      <c r="A22" s="9" t="s">
        <v>22</v>
      </c>
      <c r="B22" s="5" t="s">
        <v>454</v>
      </c>
      <c r="C22" s="218">
        <v>11614.33</v>
      </c>
      <c r="D22" s="16"/>
    </row>
    <row r="23" spans="1:4" x14ac:dyDescent="0.25">
      <c r="A23" s="9" t="s">
        <v>23</v>
      </c>
      <c r="B23" s="5" t="s">
        <v>453</v>
      </c>
      <c r="C23" s="219">
        <v>1009.29</v>
      </c>
      <c r="D23" s="16"/>
    </row>
    <row r="24" spans="1:4" x14ac:dyDescent="0.25">
      <c r="A24" s="183" t="s">
        <v>24</v>
      </c>
      <c r="B24" s="5" t="s">
        <v>452</v>
      </c>
      <c r="C24" s="218">
        <v>1522</v>
      </c>
      <c r="D24" s="16"/>
    </row>
    <row r="25" spans="1:4" ht="26.25" x14ac:dyDescent="0.25">
      <c r="A25" s="9" t="s">
        <v>25</v>
      </c>
      <c r="B25" s="5" t="s">
        <v>447</v>
      </c>
      <c r="C25" s="218">
        <v>1184</v>
      </c>
      <c r="D25" s="7"/>
    </row>
    <row r="26" spans="1:4" ht="26.25" x14ac:dyDescent="0.25">
      <c r="A26" s="9" t="s">
        <v>26</v>
      </c>
      <c r="B26" s="5" t="s">
        <v>448</v>
      </c>
      <c r="C26" s="218">
        <v>5323.5400000000009</v>
      </c>
      <c r="D26" s="16"/>
    </row>
    <row r="27" spans="1:4" ht="26.25" x14ac:dyDescent="0.25">
      <c r="A27" s="9" t="s">
        <v>27</v>
      </c>
      <c r="B27" s="5" t="s">
        <v>451</v>
      </c>
      <c r="C27" s="218">
        <v>1670</v>
      </c>
      <c r="D27" s="16"/>
    </row>
    <row r="28" spans="1:4" ht="15.75" thickBot="1" x14ac:dyDescent="0.3"/>
    <row r="29" spans="1:4" ht="15.75" thickBot="1" x14ac:dyDescent="0.3">
      <c r="B29" s="10" t="s">
        <v>28</v>
      </c>
      <c r="C29" s="11">
        <f>SUM(C6:C27)</f>
        <v>353258.16132790042</v>
      </c>
    </row>
    <row r="30" spans="1:4" x14ac:dyDescent="0.25">
      <c r="B30" s="10"/>
      <c r="C30" s="19"/>
    </row>
    <row r="31" spans="1:4" ht="15" customHeight="1" x14ac:dyDescent="0.25">
      <c r="A31" s="28"/>
      <c r="B31" s="29" t="s">
        <v>358</v>
      </c>
      <c r="C31" s="30"/>
      <c r="D31" s="31"/>
    </row>
    <row r="32" spans="1:4" ht="15.75" thickBot="1" x14ac:dyDescent="0.3">
      <c r="A32" s="4" t="s">
        <v>1</v>
      </c>
      <c r="B32" s="4" t="s">
        <v>488</v>
      </c>
    </row>
    <row r="33" spans="1:2" x14ac:dyDescent="0.25">
      <c r="A33" s="5" t="s">
        <v>29</v>
      </c>
      <c r="B33" s="5" t="s">
        <v>30</v>
      </c>
    </row>
    <row r="34" spans="1:2" ht="26.25" customHeight="1" x14ac:dyDescent="0.25">
      <c r="A34" s="5" t="s">
        <v>31</v>
      </c>
      <c r="B34" s="5" t="s">
        <v>72</v>
      </c>
    </row>
    <row r="35" spans="1:2" x14ac:dyDescent="0.25">
      <c r="A35" s="9" t="s">
        <v>32</v>
      </c>
      <c r="B35" s="5" t="s">
        <v>489</v>
      </c>
    </row>
    <row r="36" spans="1:2" ht="39" customHeight="1" x14ac:dyDescent="0.25">
      <c r="A36" s="9" t="s">
        <v>33</v>
      </c>
      <c r="B36" s="5" t="s">
        <v>490</v>
      </c>
    </row>
    <row r="37" spans="1:2" ht="26.25" x14ac:dyDescent="0.25">
      <c r="A37" s="9" t="s">
        <v>34</v>
      </c>
      <c r="B37" s="5" t="s">
        <v>35</v>
      </c>
    </row>
    <row r="38" spans="1:2" ht="39" x14ac:dyDescent="0.25">
      <c r="A38" s="18" t="s">
        <v>36</v>
      </c>
      <c r="B38" s="5" t="s">
        <v>491</v>
      </c>
    </row>
    <row r="40" spans="1:2" x14ac:dyDescent="0.25">
      <c r="A40" s="5" t="s">
        <v>38</v>
      </c>
      <c r="B40" s="5" t="s">
        <v>39</v>
      </c>
    </row>
    <row r="41" spans="1:2" x14ac:dyDescent="0.25">
      <c r="A41" s="9" t="s">
        <v>40</v>
      </c>
      <c r="B41" s="5" t="s">
        <v>457</v>
      </c>
    </row>
    <row r="42" spans="1:2" x14ac:dyDescent="0.25">
      <c r="A42" s="9" t="s">
        <v>41</v>
      </c>
      <c r="B42" s="5" t="s">
        <v>73</v>
      </c>
    </row>
    <row r="43" spans="1:2" x14ac:dyDescent="0.25">
      <c r="A43" s="9" t="s">
        <v>42</v>
      </c>
      <c r="B43" s="5" t="s">
        <v>43</v>
      </c>
    </row>
    <row r="44" spans="1:2" x14ac:dyDescent="0.25">
      <c r="A44" s="5" t="s">
        <v>44</v>
      </c>
      <c r="B44" s="5" t="s">
        <v>45</v>
      </c>
    </row>
    <row r="45" spans="1:2" x14ac:dyDescent="0.25">
      <c r="A45" s="9" t="s">
        <v>46</v>
      </c>
      <c r="B45" s="5" t="s">
        <v>47</v>
      </c>
    </row>
    <row r="46" spans="1:2" x14ac:dyDescent="0.25">
      <c r="A46" s="9" t="s">
        <v>48</v>
      </c>
      <c r="B46" s="5" t="s">
        <v>492</v>
      </c>
    </row>
    <row r="47" spans="1:2" x14ac:dyDescent="0.25">
      <c r="A47" s="8" t="s">
        <v>49</v>
      </c>
      <c r="B47" s="5" t="s">
        <v>50</v>
      </c>
    </row>
    <row r="48" spans="1:2" ht="26.25" x14ac:dyDescent="0.25">
      <c r="A48" s="8" t="s">
        <v>51</v>
      </c>
      <c r="B48" s="5" t="s">
        <v>52</v>
      </c>
    </row>
    <row r="49" spans="1:4" x14ac:dyDescent="0.25">
      <c r="A49" s="9" t="s">
        <v>53</v>
      </c>
      <c r="B49" s="5" t="s">
        <v>54</v>
      </c>
    </row>
    <row r="50" spans="1:4" x14ac:dyDescent="0.25">
      <c r="A50" s="9" t="s">
        <v>55</v>
      </c>
      <c r="B50" s="5" t="s">
        <v>56</v>
      </c>
    </row>
    <row r="51" spans="1:4" x14ac:dyDescent="0.25">
      <c r="A51" s="5" t="s">
        <v>57</v>
      </c>
      <c r="B51" s="5" t="s">
        <v>58</v>
      </c>
    </row>
    <row r="52" spans="1:4" ht="26.25" x14ac:dyDescent="0.25">
      <c r="A52" s="8" t="s">
        <v>59</v>
      </c>
      <c r="B52" s="5" t="s">
        <v>60</v>
      </c>
    </row>
    <row r="53" spans="1:4" ht="24" x14ac:dyDescent="0.25">
      <c r="A53" s="9" t="s">
        <v>61</v>
      </c>
      <c r="B53" s="12" t="s">
        <v>493</v>
      </c>
    </row>
    <row r="54" spans="1:4" x14ac:dyDescent="0.25">
      <c r="A54" s="5" t="s">
        <v>62</v>
      </c>
      <c r="B54" s="5" t="s">
        <v>63</v>
      </c>
    </row>
    <row r="55" spans="1:4" x14ac:dyDescent="0.25">
      <c r="A55" s="18" t="s">
        <v>64</v>
      </c>
      <c r="B55" s="5" t="s">
        <v>65</v>
      </c>
    </row>
    <row r="56" spans="1:4" ht="25.5" x14ac:dyDescent="0.25">
      <c r="A56" s="9" t="s">
        <v>66</v>
      </c>
      <c r="B56" s="5" t="s">
        <v>67</v>
      </c>
    </row>
    <row r="58" spans="1:4" x14ac:dyDescent="0.25">
      <c r="A58" s="186" t="s">
        <v>458</v>
      </c>
      <c r="B58" s="187"/>
      <c r="C58" s="52"/>
      <c r="D58" s="52"/>
    </row>
    <row r="59" spans="1:4" ht="15.75" thickBot="1" x14ac:dyDescent="0.3">
      <c r="A59" s="4" t="s">
        <v>1</v>
      </c>
      <c r="B59" s="4" t="s">
        <v>2</v>
      </c>
    </row>
    <row r="60" spans="1:4" x14ac:dyDescent="0.25">
      <c r="A60" s="9" t="s">
        <v>68</v>
      </c>
      <c r="B60" s="5" t="s">
        <v>459</v>
      </c>
    </row>
    <row r="61" spans="1:4" ht="26.25" x14ac:dyDescent="0.25">
      <c r="A61" s="9" t="s">
        <v>69</v>
      </c>
      <c r="B61" s="5" t="s">
        <v>494</v>
      </c>
    </row>
    <row r="62" spans="1:4" ht="26.25" x14ac:dyDescent="0.25">
      <c r="A62" s="5" t="s">
        <v>70</v>
      </c>
      <c r="B62" s="5" t="s">
        <v>460</v>
      </c>
    </row>
    <row r="63" spans="1:4" x14ac:dyDescent="0.25">
      <c r="A63" s="9" t="s">
        <v>71</v>
      </c>
      <c r="B63" s="5" t="s">
        <v>461</v>
      </c>
    </row>
    <row r="64" spans="1:4" x14ac:dyDescent="0.25">
      <c r="A64" s="221" t="s">
        <v>37</v>
      </c>
      <c r="B64" s="221" t="s">
        <v>497</v>
      </c>
    </row>
  </sheetData>
  <mergeCells count="1">
    <mergeCell ref="A1:B3"/>
  </mergeCells>
  <hyperlinks>
    <hyperlink ref="C1" r:id="rId1"/>
    <hyperlink ref="C2" r:id="rId2"/>
    <hyperlink ref="C3" r:id="rId3"/>
    <hyperlink ref="C4" r:id="rId4"/>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H21" sqref="H21"/>
    </sheetView>
  </sheetViews>
  <sheetFormatPr defaultRowHeight="15" x14ac:dyDescent="0.25"/>
  <cols>
    <col min="1" max="1" width="13.5703125" style="3" customWidth="1"/>
    <col min="2" max="2" width="12.140625" style="3" customWidth="1"/>
    <col min="3" max="3" width="10.85546875" style="92" customWidth="1"/>
    <col min="4" max="4" width="17.85546875" style="3" customWidth="1"/>
    <col min="5" max="5" width="29.140625" style="3" customWidth="1"/>
    <col min="6" max="16384" width="9.140625" style="3"/>
  </cols>
  <sheetData>
    <row r="1" spans="1:5" ht="33" thickBot="1" x14ac:dyDescent="0.3">
      <c r="A1" s="70" t="s">
        <v>1</v>
      </c>
      <c r="B1" s="184" t="s">
        <v>462</v>
      </c>
      <c r="C1" s="89" t="s">
        <v>162</v>
      </c>
      <c r="D1" s="70" t="s">
        <v>163</v>
      </c>
      <c r="E1" s="70" t="s">
        <v>164</v>
      </c>
    </row>
    <row r="2" spans="1:5" x14ac:dyDescent="0.25">
      <c r="A2" s="72" t="s">
        <v>87</v>
      </c>
      <c r="B2" s="76">
        <v>10000</v>
      </c>
      <c r="C2" s="87">
        <v>5112</v>
      </c>
      <c r="D2" s="72" t="s">
        <v>165</v>
      </c>
      <c r="E2" s="71"/>
    </row>
    <row r="3" spans="1:5" x14ac:dyDescent="0.25">
      <c r="A3" s="72" t="s">
        <v>166</v>
      </c>
      <c r="B3" s="76">
        <v>350</v>
      </c>
      <c r="C3" s="88">
        <v>4730</v>
      </c>
      <c r="D3" s="72" t="s">
        <v>165</v>
      </c>
      <c r="E3" s="71"/>
    </row>
    <row r="4" spans="1:5" x14ac:dyDescent="0.25">
      <c r="A4" s="75" t="s">
        <v>33</v>
      </c>
      <c r="B4" s="75">
        <v>400</v>
      </c>
      <c r="C4" s="90">
        <v>9403</v>
      </c>
      <c r="D4" s="110" t="s">
        <v>167</v>
      </c>
      <c r="E4" s="71"/>
    </row>
    <row r="5" spans="1:5" x14ac:dyDescent="0.25">
      <c r="A5" s="72" t="s">
        <v>103</v>
      </c>
      <c r="B5" s="76">
        <v>150</v>
      </c>
      <c r="C5" s="88">
        <v>5806</v>
      </c>
      <c r="D5" s="75" t="s">
        <v>165</v>
      </c>
      <c r="E5" s="71"/>
    </row>
    <row r="6" spans="1:5" x14ac:dyDescent="0.25">
      <c r="A6" s="72" t="s">
        <v>168</v>
      </c>
      <c r="B6" s="76">
        <v>290</v>
      </c>
      <c r="C6" s="88">
        <v>9215</v>
      </c>
      <c r="D6" s="110" t="s">
        <v>167</v>
      </c>
      <c r="E6" s="71"/>
    </row>
    <row r="7" spans="1:5" x14ac:dyDescent="0.25">
      <c r="A7" s="72" t="s">
        <v>169</v>
      </c>
      <c r="B7" s="76">
        <v>150</v>
      </c>
      <c r="C7" s="88">
        <v>4770</v>
      </c>
      <c r="D7" s="75" t="s">
        <v>165</v>
      </c>
      <c r="E7" s="71"/>
    </row>
    <row r="8" spans="1:5" x14ac:dyDescent="0.25">
      <c r="A8" s="72" t="s">
        <v>171</v>
      </c>
      <c r="B8" s="76">
        <v>55.34</v>
      </c>
      <c r="C8" s="87">
        <v>5398</v>
      </c>
      <c r="D8" s="75" t="s">
        <v>165</v>
      </c>
      <c r="E8" s="71"/>
    </row>
    <row r="9" spans="1:5" x14ac:dyDescent="0.25">
      <c r="A9" s="72" t="s">
        <v>113</v>
      </c>
      <c r="B9" s="76">
        <v>114</v>
      </c>
      <c r="C9" s="88">
        <v>5069</v>
      </c>
      <c r="D9" s="75" t="s">
        <v>165</v>
      </c>
      <c r="E9" s="71"/>
    </row>
    <row r="10" spans="1:5" x14ac:dyDescent="0.25">
      <c r="A10" s="72" t="s">
        <v>172</v>
      </c>
      <c r="B10" s="76">
        <v>2138.17</v>
      </c>
      <c r="C10" s="88">
        <v>4716</v>
      </c>
      <c r="D10" s="75" t="s">
        <v>165</v>
      </c>
      <c r="E10" s="71"/>
    </row>
    <row r="11" spans="1:5" x14ac:dyDescent="0.25">
      <c r="A11" s="72" t="s">
        <v>173</v>
      </c>
      <c r="B11" s="76">
        <v>1100</v>
      </c>
      <c r="C11" s="88">
        <v>5380</v>
      </c>
      <c r="D11" s="75" t="s">
        <v>165</v>
      </c>
      <c r="E11" s="71"/>
    </row>
    <row r="12" spans="1:5" x14ac:dyDescent="0.25">
      <c r="A12" s="72" t="s">
        <v>40</v>
      </c>
      <c r="B12" s="76">
        <v>2777</v>
      </c>
      <c r="C12" s="91">
        <v>4708</v>
      </c>
      <c r="D12" s="75" t="s">
        <v>165</v>
      </c>
      <c r="E12" s="71"/>
    </row>
    <row r="13" spans="1:5" x14ac:dyDescent="0.25">
      <c r="A13" s="72" t="s">
        <v>41</v>
      </c>
      <c r="B13" s="76">
        <v>22333.08</v>
      </c>
      <c r="C13" s="88">
        <v>5171</v>
      </c>
      <c r="D13" s="75" t="s">
        <v>165</v>
      </c>
      <c r="E13" s="71"/>
    </row>
    <row r="14" spans="1:5" x14ac:dyDescent="0.25">
      <c r="A14" s="72" t="s">
        <v>174</v>
      </c>
      <c r="B14" s="76">
        <v>271108</v>
      </c>
      <c r="C14" s="88">
        <v>5551</v>
      </c>
      <c r="D14" s="110" t="s">
        <v>167</v>
      </c>
      <c r="E14" s="188" t="s">
        <v>175</v>
      </c>
    </row>
    <row r="15" spans="1:5" x14ac:dyDescent="0.25">
      <c r="A15" s="108" t="s">
        <v>44</v>
      </c>
      <c r="B15" s="76">
        <v>2970</v>
      </c>
      <c r="C15" s="90">
        <v>5351</v>
      </c>
      <c r="D15" s="75" t="s">
        <v>165</v>
      </c>
      <c r="E15" s="188"/>
    </row>
    <row r="16" spans="1:5" x14ac:dyDescent="0.25">
      <c r="A16" s="72" t="s">
        <v>176</v>
      </c>
      <c r="B16" s="76">
        <v>45</v>
      </c>
      <c r="C16" s="88">
        <v>5552</v>
      </c>
      <c r="D16" s="75" t="s">
        <v>165</v>
      </c>
      <c r="E16" s="188"/>
    </row>
    <row r="17" spans="1:5" x14ac:dyDescent="0.25">
      <c r="A17" s="72" t="s">
        <v>127</v>
      </c>
      <c r="B17" s="76">
        <v>11.5</v>
      </c>
      <c r="C17" s="87">
        <v>4717</v>
      </c>
      <c r="D17" s="75" t="s">
        <v>165</v>
      </c>
      <c r="E17" s="188"/>
    </row>
    <row r="18" spans="1:5" x14ac:dyDescent="0.25">
      <c r="A18" s="72" t="s">
        <v>177</v>
      </c>
      <c r="B18" s="76">
        <v>200</v>
      </c>
      <c r="C18" s="87">
        <v>4848</v>
      </c>
      <c r="D18" s="75" t="s">
        <v>165</v>
      </c>
      <c r="E18" s="188"/>
    </row>
    <row r="19" spans="1:5" ht="30" x14ac:dyDescent="0.25">
      <c r="A19" s="72" t="s">
        <v>154</v>
      </c>
      <c r="B19" s="76">
        <v>34.99</v>
      </c>
      <c r="C19" s="87">
        <v>5078</v>
      </c>
      <c r="D19" s="75" t="s">
        <v>165</v>
      </c>
      <c r="E19" s="188"/>
    </row>
    <row r="20" spans="1:5" x14ac:dyDescent="0.25">
      <c r="A20" s="72" t="s">
        <v>178</v>
      </c>
      <c r="B20" s="77">
        <v>12</v>
      </c>
      <c r="C20" s="88">
        <v>5550</v>
      </c>
      <c r="D20" s="75" t="s">
        <v>165</v>
      </c>
      <c r="E20" s="188" t="s">
        <v>359</v>
      </c>
    </row>
    <row r="21" spans="1:5" x14ac:dyDescent="0.25">
      <c r="A21" s="72" t="s">
        <v>179</v>
      </c>
      <c r="B21" s="76">
        <v>200</v>
      </c>
      <c r="C21" s="90">
        <v>5397</v>
      </c>
      <c r="D21" s="75" t="s">
        <v>165</v>
      </c>
      <c r="E21" s="71"/>
    </row>
    <row r="22" spans="1:5" x14ac:dyDescent="0.25">
      <c r="A22" s="75" t="s">
        <v>180</v>
      </c>
      <c r="B22" s="75">
        <v>1000</v>
      </c>
      <c r="C22" s="91">
        <v>4659</v>
      </c>
      <c r="D22" s="75" t="s">
        <v>165</v>
      </c>
      <c r="E22" s="71"/>
    </row>
    <row r="23" spans="1:5" ht="15.75" thickBot="1" x14ac:dyDescent="0.3">
      <c r="A23" s="71"/>
      <c r="B23" s="71"/>
      <c r="D23" s="71"/>
      <c r="E23" s="71"/>
    </row>
    <row r="24" spans="1:5" ht="15.75" thickBot="1" x14ac:dyDescent="0.3">
      <c r="A24" s="73" t="s">
        <v>28</v>
      </c>
      <c r="B24" s="74">
        <f>SUM(B2:B22)</f>
        <v>315439.08</v>
      </c>
      <c r="D24" s="71"/>
      <c r="E24" s="71"/>
    </row>
  </sheetData>
  <autoFilter ref="A1:E22"/>
  <hyperlinks>
    <hyperlink ref="C2" r:id="rId1" display="https://www.thegef.org/project/governance-strengthening-management-and-protection-coastal-marine-biodiversity-key"/>
    <hyperlink ref="C3" r:id="rId2" display="https://www.thegef.org/project/increasing-representation-effectively-managed-marine-ecosystems-protected-area-system"/>
    <hyperlink ref="C4" r:id="rId3" display="https://www.thegef.org/project/chinas-protected-area-system-reform-c-par"/>
    <hyperlink ref="C5" r:id="rId4" display="https://www.thegef.org/project/creation-loungo-bay-marine-protected-area-support-turtles-conservation-congo"/>
    <hyperlink ref="C6" r:id="rId5" display="https://www.thegef.org/project/mitigating-key-sector-pressures-marine-and-coastal-biodiversity-and-further-strengthening"/>
    <hyperlink ref="C7" r:id="rId6" display="https://www.thegef.org/project/integrated-management-marine-and-coastal-areas-high-value-biodiversity-continental-ecuador"/>
    <hyperlink ref="C8" r:id="rId7" display="https://www.thegef.org/project/implementing-ridge-reef-approach-preserve-ecosystem-services-sequester-carbon-improve"/>
    <hyperlink ref="C9" r:id="rId8" display="https://www.thegef.org/project/implementing-ridge-reef-approach-protecting-biodiversity-and-ecosystem-functions-within-and"/>
    <hyperlink ref="C10" r:id="rId9" display="https://www.thegef.org/project/conservation-and-sustainable-use-biodiversity-coastal-and-marine-protected-areas-mpas"/>
    <hyperlink ref="C11" r:id="rId10" display="https://www.thegef.org/project/increasing-resilience-ecosystems-and-vulnerable-communities-cc-and-anthropic-threats-through"/>
    <hyperlink ref="C12" r:id="rId11" display="https://www.thegef.org/project/strengthening-sub-system-coastal-and-marine-protected-areas"/>
    <hyperlink ref="C13" r:id="rId12" display="https://www.thegef.org/project/cti-coral-reef-rehabilitation-and-management-program-coral-triangle-initiative-phase-iii"/>
    <hyperlink ref="C14" r:id="rId13" display="https://www.thegef.org/project/resilient-islands-resilient-communities"/>
    <hyperlink ref="C16" r:id="rId14" display="https://www.thegef.org/project/application-ridge-reef-concept-biodiversity-conservation-and-enhancement-ecosystem-service"/>
    <hyperlink ref="C17" r:id="rId15" display="https://www.thegef.org/project/expansion-and-strengthening-protected-area-subsystem-outer-islands-seychelles-and-its"/>
    <hyperlink ref="C18" r:id="rId16" display="https://www.thegef.org/project/improving-management-effectiveness-protected-area-network"/>
    <hyperlink ref="C19" r:id="rId17" display="https://www.thegef.org/project/conserving-biodiversity-and-reducing-habitat-degradation-protected-areas-and-their-buffer"/>
    <hyperlink ref="C20" r:id="rId18" display="https://www.thegef.org/project/r2r-implementing-ridge-reef-approach-protect-biodiversity-and-ecosystem-functions"/>
    <hyperlink ref="C21" r:id="rId19" display="https://www.thegef.org/project/r2r-integrated-sustainable-land-and-coastal-management"/>
    <hyperlink ref="C22" r:id="rId20" display="https://www.thegef.org/project/lme-ea-coastal-resources-sustainable-development-mainstreaming-application-marine-spatial"/>
    <hyperlink ref="C15" r:id="rId21" display="https://www.thegef.org/project/strengthening-network-new-protected-areas"/>
  </hyperlinks>
  <pageMargins left="0.7" right="0.7" top="0.75" bottom="0.75" header="0.3" footer="0.3"/>
  <pageSetup paperSize="9" orientation="portrait"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6" workbookViewId="0">
      <selection activeCell="C30" sqref="C30"/>
    </sheetView>
  </sheetViews>
  <sheetFormatPr defaultRowHeight="15" x14ac:dyDescent="0.25"/>
  <cols>
    <col min="1" max="1" width="15.28515625" style="81" customWidth="1"/>
    <col min="2" max="2" width="13.42578125" style="3" customWidth="1"/>
    <col min="3" max="3" width="69.7109375" style="3" customWidth="1"/>
    <col min="4" max="4" width="17.28515625" style="3" customWidth="1"/>
    <col min="5" max="5" width="39.7109375" style="3" customWidth="1"/>
    <col min="6" max="16384" width="9.140625" style="3"/>
  </cols>
  <sheetData>
    <row r="1" spans="1:5" ht="33" thickBot="1" x14ac:dyDescent="0.3">
      <c r="A1" s="189" t="s">
        <v>1</v>
      </c>
      <c r="B1" s="78" t="s">
        <v>462</v>
      </c>
      <c r="C1" s="42" t="s">
        <v>470</v>
      </c>
      <c r="D1" s="42" t="s">
        <v>463</v>
      </c>
      <c r="E1" s="79" t="s">
        <v>164</v>
      </c>
    </row>
    <row r="2" spans="1:5" ht="30.75" x14ac:dyDescent="0.25">
      <c r="A2" s="81" t="s">
        <v>113</v>
      </c>
      <c r="B2" s="160">
        <f>4658.13/4-11</f>
        <v>1153.5325</v>
      </c>
      <c r="C2" s="81" t="s">
        <v>191</v>
      </c>
      <c r="D2" s="84" t="s">
        <v>192</v>
      </c>
      <c r="E2" s="109" t="s">
        <v>370</v>
      </c>
    </row>
    <row r="3" spans="1:5" ht="39" x14ac:dyDescent="0.25">
      <c r="A3" s="81" t="s">
        <v>464</v>
      </c>
      <c r="B3" s="165">
        <v>6450</v>
      </c>
      <c r="C3" s="81" t="s">
        <v>195</v>
      </c>
      <c r="D3" s="84" t="s">
        <v>196</v>
      </c>
      <c r="E3" s="81" t="s">
        <v>373</v>
      </c>
    </row>
    <row r="4" spans="1:5" ht="26.25" x14ac:dyDescent="0.25">
      <c r="A4" s="81" t="s">
        <v>182</v>
      </c>
      <c r="B4" s="168">
        <v>305.5</v>
      </c>
      <c r="C4" s="81" t="s">
        <v>193</v>
      </c>
      <c r="D4" s="84" t="s">
        <v>194</v>
      </c>
      <c r="E4" s="81" t="s">
        <v>373</v>
      </c>
    </row>
    <row r="5" spans="1:5" ht="26.25" x14ac:dyDescent="0.25">
      <c r="A5" s="81" t="s">
        <v>181</v>
      </c>
      <c r="B5" s="165" t="s">
        <v>498</v>
      </c>
      <c r="C5" s="81" t="s">
        <v>449</v>
      </c>
      <c r="D5" s="84" t="s">
        <v>190</v>
      </c>
      <c r="E5" s="223" t="s">
        <v>481</v>
      </c>
    </row>
    <row r="6" spans="1:5" ht="26.25" x14ac:dyDescent="0.25">
      <c r="A6" s="81" t="s">
        <v>183</v>
      </c>
      <c r="B6" s="165">
        <v>150000</v>
      </c>
      <c r="C6" s="81" t="s">
        <v>197</v>
      </c>
      <c r="D6" s="84" t="s">
        <v>198</v>
      </c>
    </row>
    <row r="7" spans="1:5" ht="39" x14ac:dyDescent="0.25">
      <c r="A7" s="172" t="s">
        <v>185</v>
      </c>
      <c r="B7" s="139">
        <v>1800000</v>
      </c>
      <c r="C7" s="172" t="s">
        <v>377</v>
      </c>
      <c r="D7" s="173" t="s">
        <v>199</v>
      </c>
      <c r="E7" s="172" t="s">
        <v>186</v>
      </c>
    </row>
    <row r="8" spans="1:5" ht="42.75" customHeight="1" x14ac:dyDescent="0.25">
      <c r="A8" s="179" t="s">
        <v>145</v>
      </c>
      <c r="B8" s="165">
        <v>183250.4184</v>
      </c>
      <c r="C8" s="81" t="s">
        <v>411</v>
      </c>
      <c r="D8" s="158" t="s">
        <v>412</v>
      </c>
      <c r="E8" s="190" t="s">
        <v>465</v>
      </c>
    </row>
    <row r="9" spans="1:5" ht="32.25" customHeight="1" x14ac:dyDescent="0.25">
      <c r="A9" s="81" t="s">
        <v>33</v>
      </c>
      <c r="B9" s="165">
        <v>10432</v>
      </c>
      <c r="C9" s="81" t="s">
        <v>362</v>
      </c>
      <c r="D9" s="84" t="s">
        <v>363</v>
      </c>
      <c r="E9" s="81"/>
    </row>
    <row r="10" spans="1:5" ht="32.25" customHeight="1" x14ac:dyDescent="0.25">
      <c r="A10" s="81" t="s">
        <v>296</v>
      </c>
      <c r="B10" s="165">
        <v>762.83</v>
      </c>
      <c r="C10" s="81" t="s">
        <v>374</v>
      </c>
      <c r="D10" s="158" t="s">
        <v>375</v>
      </c>
      <c r="E10" s="157" t="s">
        <v>376</v>
      </c>
    </row>
    <row r="11" spans="1:5" ht="22.5" customHeight="1" x14ac:dyDescent="0.25">
      <c r="A11" s="81" t="s">
        <v>378</v>
      </c>
      <c r="B11" s="165">
        <v>97297.608000000007</v>
      </c>
      <c r="C11" s="81" t="s">
        <v>379</v>
      </c>
      <c r="D11" s="158" t="s">
        <v>380</v>
      </c>
    </row>
    <row r="12" spans="1:5" ht="17.25" customHeight="1" x14ac:dyDescent="0.25">
      <c r="A12" s="81" t="s">
        <v>336</v>
      </c>
      <c r="B12" s="165">
        <v>7000</v>
      </c>
      <c r="C12" s="81" t="s">
        <v>381</v>
      </c>
      <c r="D12" s="159" t="s">
        <v>382</v>
      </c>
    </row>
    <row r="13" spans="1:5" ht="28.5" customHeight="1" x14ac:dyDescent="0.25">
      <c r="A13" s="81" t="s">
        <v>41</v>
      </c>
      <c r="B13" s="165">
        <f>43000-22333</f>
        <v>20667</v>
      </c>
      <c r="C13" s="81" t="s">
        <v>405</v>
      </c>
      <c r="D13" s="158" t="s">
        <v>406</v>
      </c>
      <c r="E13" s="81" t="s">
        <v>407</v>
      </c>
    </row>
    <row r="14" spans="1:5" ht="45.75" customHeight="1" x14ac:dyDescent="0.25">
      <c r="A14" s="81" t="s">
        <v>268</v>
      </c>
      <c r="B14" s="165">
        <v>91633.14</v>
      </c>
      <c r="C14" s="81" t="s">
        <v>466</v>
      </c>
      <c r="D14" s="158" t="s">
        <v>383</v>
      </c>
    </row>
    <row r="15" spans="1:5" ht="33" customHeight="1" x14ac:dyDescent="0.25">
      <c r="A15" s="179" t="s">
        <v>127</v>
      </c>
      <c r="B15" s="161">
        <v>401755.85</v>
      </c>
      <c r="C15" s="81" t="s">
        <v>408</v>
      </c>
      <c r="D15" s="158" t="s">
        <v>409</v>
      </c>
      <c r="E15" s="157" t="s">
        <v>410</v>
      </c>
    </row>
    <row r="16" spans="1:5" ht="41.25" customHeight="1" x14ac:dyDescent="0.25">
      <c r="A16" s="171" t="s">
        <v>102</v>
      </c>
      <c r="B16" s="165">
        <v>2361</v>
      </c>
      <c r="C16" s="81" t="s">
        <v>384</v>
      </c>
      <c r="D16" s="158" t="s">
        <v>385</v>
      </c>
    </row>
    <row r="17" spans="1:5" ht="33" customHeight="1" x14ac:dyDescent="0.25">
      <c r="A17" s="171" t="s">
        <v>102</v>
      </c>
      <c r="B17" s="165">
        <v>2410</v>
      </c>
      <c r="C17" s="81" t="s">
        <v>386</v>
      </c>
      <c r="D17" s="159" t="s">
        <v>387</v>
      </c>
    </row>
    <row r="18" spans="1:5" ht="32.25" customHeight="1" x14ac:dyDescent="0.25">
      <c r="A18" s="81" t="s">
        <v>61</v>
      </c>
      <c r="B18" s="165">
        <v>1000</v>
      </c>
      <c r="C18" s="81" t="s">
        <v>389</v>
      </c>
      <c r="D18" s="159" t="s">
        <v>388</v>
      </c>
    </row>
    <row r="19" spans="1:5" ht="39.75" customHeight="1" x14ac:dyDescent="0.25">
      <c r="A19" s="172" t="s">
        <v>217</v>
      </c>
      <c r="B19" s="139">
        <v>18774.674000000014</v>
      </c>
      <c r="C19" s="81" t="s">
        <v>390</v>
      </c>
      <c r="D19" s="158" t="s">
        <v>391</v>
      </c>
    </row>
    <row r="20" spans="1:5" ht="23.25" customHeight="1" x14ac:dyDescent="0.25">
      <c r="A20" s="179" t="s">
        <v>209</v>
      </c>
      <c r="B20" s="161">
        <v>4795261.0999999996</v>
      </c>
      <c r="C20" s="81" t="s">
        <v>467</v>
      </c>
      <c r="D20" s="158" t="s">
        <v>413</v>
      </c>
      <c r="E20" s="98" t="s">
        <v>468</v>
      </c>
    </row>
    <row r="21" spans="1:5" ht="42.75" customHeight="1" x14ac:dyDescent="0.25">
      <c r="A21" s="81" t="s">
        <v>102</v>
      </c>
      <c r="B21" s="165">
        <v>4364</v>
      </c>
      <c r="C21" s="81" t="s">
        <v>392</v>
      </c>
      <c r="D21" s="158" t="s">
        <v>393</v>
      </c>
    </row>
    <row r="22" spans="1:5" ht="30.75" customHeight="1" x14ac:dyDescent="0.25">
      <c r="A22" s="81" t="s">
        <v>102</v>
      </c>
      <c r="B22" s="165">
        <v>26600</v>
      </c>
      <c r="C22" s="81" t="s">
        <v>394</v>
      </c>
      <c r="D22" s="159" t="s">
        <v>395</v>
      </c>
    </row>
    <row r="23" spans="1:5" ht="43.5" customHeight="1" x14ac:dyDescent="0.25">
      <c r="A23" s="81" t="s">
        <v>116</v>
      </c>
      <c r="B23" s="165">
        <v>8040</v>
      </c>
      <c r="C23" s="81" t="s">
        <v>398</v>
      </c>
      <c r="D23" s="158" t="s">
        <v>399</v>
      </c>
    </row>
    <row r="24" spans="1:5" ht="21" customHeight="1" x14ac:dyDescent="0.25">
      <c r="A24" s="81" t="s">
        <v>64</v>
      </c>
      <c r="B24" s="165">
        <v>56750.459999999992</v>
      </c>
      <c r="C24" s="81" t="s">
        <v>401</v>
      </c>
      <c r="D24" s="158" t="s">
        <v>402</v>
      </c>
      <c r="E24" s="157" t="s">
        <v>376</v>
      </c>
    </row>
    <row r="25" spans="1:5" ht="32.25" customHeight="1" x14ac:dyDescent="0.25">
      <c r="A25" s="81" t="s">
        <v>64</v>
      </c>
      <c r="B25" s="165">
        <v>133611</v>
      </c>
      <c r="C25" s="81" t="s">
        <v>403</v>
      </c>
      <c r="D25" s="158" t="s">
        <v>414</v>
      </c>
      <c r="E25" s="157" t="s">
        <v>415</v>
      </c>
    </row>
    <row r="26" spans="1:5" ht="23.25" customHeight="1" x14ac:dyDescent="0.25">
      <c r="A26" s="83" t="s">
        <v>178</v>
      </c>
      <c r="B26" s="169">
        <v>73116</v>
      </c>
      <c r="C26" s="83" t="s">
        <v>404</v>
      </c>
      <c r="D26" s="174" t="s">
        <v>416</v>
      </c>
      <c r="E26" s="83"/>
    </row>
    <row r="27" spans="1:5" ht="34.5" customHeight="1" thickBot="1" x14ac:dyDescent="0.3">
      <c r="A27" s="196" t="s">
        <v>187</v>
      </c>
      <c r="B27" s="197">
        <v>3700000</v>
      </c>
      <c r="C27" s="193" t="s">
        <v>200</v>
      </c>
      <c r="D27" s="194" t="s">
        <v>201</v>
      </c>
      <c r="E27" s="195" t="s">
        <v>188</v>
      </c>
    </row>
    <row r="28" spans="1:5" ht="30" x14ac:dyDescent="0.25">
      <c r="A28" s="198" t="s">
        <v>189</v>
      </c>
      <c r="B28" s="199">
        <f>SUM(B2:B26)-B7</f>
        <v>6092996.1129000001</v>
      </c>
      <c r="D28" s="81"/>
    </row>
    <row r="29" spans="1:5" x14ac:dyDescent="0.25">
      <c r="A29" s="200" t="s">
        <v>469</v>
      </c>
      <c r="B29" s="201">
        <f>B7</f>
        <v>1800000</v>
      </c>
      <c r="D29" s="81"/>
    </row>
    <row r="30" spans="1:5" ht="32.25" customHeight="1" thickBot="1" x14ac:dyDescent="0.3">
      <c r="A30" s="191" t="s">
        <v>210</v>
      </c>
      <c r="B30" s="192">
        <f>B28+B29</f>
        <v>7892996.1129000001</v>
      </c>
    </row>
  </sheetData>
  <sortState ref="A2:E26">
    <sortCondition ref="D2:D26"/>
  </sortState>
  <hyperlinks>
    <hyperlink ref="D5" r:id="rId1"/>
    <hyperlink ref="D2" r:id="rId2"/>
    <hyperlink ref="D4" r:id="rId3"/>
    <hyperlink ref="D3" r:id="rId4"/>
    <hyperlink ref="D6" r:id="rId5"/>
    <hyperlink ref="D7" r:id="rId6"/>
    <hyperlink ref="D27" r:id="rId7"/>
    <hyperlink ref="D9" r:id="rId8" location="sthash.ve47CHTf.dpuf" display="https://oceanconference.un.org/commitments/?id=17134#sthash.ve47CHTf.dpuf"/>
    <hyperlink ref="D10" r:id="rId9" location="sthash.nJBSoG15.dpuf" display="https://oceanconference.un.org/commitments/?id=18142#sthash.nJBSoG15.dpuf"/>
    <hyperlink ref="D11" r:id="rId10" location="sthash.KRq8GG6M.dpuf" display="https://oceanconference.un.org/commitments/?id=18172#sthash.KRq8GG6M.dpuf"/>
    <hyperlink ref="D12" r:id="rId11" location="sthash.qgrY7naB.dpuf" display="https://oceanconference.un.org/commitments/?id=18211#sthash.qgrY7naB.dpuf"/>
    <hyperlink ref="D14" r:id="rId12" location="sthash.RhijshQD.dpuf" display="https://oceanconference.un.org/commitments/?id=18379#sthash.RhijshQD.dpuf"/>
    <hyperlink ref="D16" r:id="rId13" location="sthash.YHty3clo.dpuf" display="https://oceanconference.un.org/commitments/?id=19138#sthash.YHty3clo.dpuf"/>
    <hyperlink ref="D17" r:id="rId14" location="sthash.sEgVepRr.dpuf" display="https://oceanconference.un.org/commitments/?id=19158#sthash.sEgVepRr.dpuf"/>
    <hyperlink ref="D18" r:id="rId15" location="sthash.sLdGxzma.dpuf" display="https://oceanconference.un.org/commitments/?id=19899#sthash.sLdGxzma.dpuf"/>
    <hyperlink ref="D19" r:id="rId16" location="sthash.tR91mbIG.dpuf" display="https://oceanconference.un.org/commitments/?id=20269#sthash.tR91mbIG.dpuf"/>
    <hyperlink ref="D21" r:id="rId17" location="sthash.ZRHrXbff.dpuf" display="https://oceanconference.un.org/commitments/?id=20492#sthash.ZRHrXbff.dpuf"/>
    <hyperlink ref="D22" r:id="rId18" location="sthash.SORDmJ3I.dpuf" display="https://oceanconference.un.org/commitments/?id=20772#sthash.SORDmJ3I.dpuf"/>
    <hyperlink ref="D23" r:id="rId19" location="sthash.VZRytnW9.dpuf" display="https://oceanconference.un.org/commitments/?id=21136#sthash.VZRytnW9.dpuf"/>
    <hyperlink ref="D24" r:id="rId20" location="sthash.zqyt3oWi.dpuf" display="https://oceanconference.un.org/commitments/?id=21256#sthash.zqyt3oWi.dpuf"/>
    <hyperlink ref="D13" r:id="rId21" location="sthash.v4doOh1Z.dpuf" display="https://oceanconference.un.org/commitments/?id=18259#sthash.v4doOh1Z.dpuf"/>
    <hyperlink ref="D15" r:id="rId22"/>
    <hyperlink ref="D8" r:id="rId23" location="sthash.7vnEI1pc.dpuf" display="https://oceanconference.un.org/commitments/?id=16676#sthash.7vnEI1pc.dpuf"/>
    <hyperlink ref="D20" r:id="rId24" location="sthash.aAXIOmaP.dpuf" display="https://oceanconference.un.org/commitments/?id=20294#sthash.aAXIOmaP.dpuf"/>
    <hyperlink ref="D25" r:id="rId25"/>
    <hyperlink ref="D26" r:id="rId26" location="sthash.qxK4N8Zu.dpuf" display="https://oceanconference.un.org/commitments/?id=21472#sthash.qxK4N8Zu.dpuf"/>
  </hyperlinks>
  <pageMargins left="0.7" right="0.7" top="0.75" bottom="0.75" header="0.3" footer="0.3"/>
  <pageSetup paperSize="9" orientation="landscape"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C5" sqref="C5"/>
    </sheetView>
  </sheetViews>
  <sheetFormatPr defaultRowHeight="15" x14ac:dyDescent="0.25"/>
  <cols>
    <col min="1" max="1" width="13.7109375" style="3" customWidth="1"/>
    <col min="2" max="2" width="12.5703125" style="3" customWidth="1"/>
    <col min="3" max="3" width="68.140625" style="3" customWidth="1"/>
    <col min="4" max="4" width="18.7109375" style="3" customWidth="1"/>
    <col min="5" max="5" width="12.140625" style="3" customWidth="1"/>
    <col min="6" max="6" width="11.85546875" style="3" customWidth="1"/>
    <col min="7" max="16384" width="9.140625" style="3"/>
  </cols>
  <sheetData>
    <row r="1" spans="1:7" ht="30.75" thickBot="1" x14ac:dyDescent="0.3">
      <c r="A1" s="42" t="s">
        <v>1</v>
      </c>
      <c r="B1" s="42" t="s">
        <v>3</v>
      </c>
      <c r="C1" s="42" t="s">
        <v>164</v>
      </c>
      <c r="D1" s="4" t="s">
        <v>202</v>
      </c>
      <c r="E1" s="86"/>
    </row>
    <row r="2" spans="1:7" ht="26.25" x14ac:dyDescent="0.25">
      <c r="A2" s="81" t="s">
        <v>203</v>
      </c>
      <c r="B2" s="16">
        <v>1550000</v>
      </c>
      <c r="C2" s="81" t="s">
        <v>204</v>
      </c>
      <c r="D2" s="84" t="s">
        <v>205</v>
      </c>
      <c r="E2" s="84" t="s">
        <v>206</v>
      </c>
    </row>
    <row r="3" spans="1:7" ht="79.5" customHeight="1" x14ac:dyDescent="0.25">
      <c r="A3" s="82" t="s">
        <v>127</v>
      </c>
      <c r="B3" s="166" t="s">
        <v>419</v>
      </c>
      <c r="C3" s="81" t="s">
        <v>506</v>
      </c>
      <c r="D3" s="84" t="s">
        <v>218</v>
      </c>
      <c r="E3" s="84" t="s">
        <v>214</v>
      </c>
      <c r="F3" s="84" t="s">
        <v>219</v>
      </c>
      <c r="G3" s="41"/>
    </row>
    <row r="4" spans="1:7" ht="39" x14ac:dyDescent="0.25">
      <c r="A4" s="81" t="s">
        <v>420</v>
      </c>
      <c r="B4" s="16">
        <v>970510</v>
      </c>
      <c r="C4" s="81" t="s">
        <v>354</v>
      </c>
      <c r="D4" s="84" t="s">
        <v>207</v>
      </c>
    </row>
    <row r="5" spans="1:7" ht="51.75" x14ac:dyDescent="0.25">
      <c r="A5" s="81" t="s">
        <v>183</v>
      </c>
      <c r="B5" s="16">
        <f>723287.5-150455.1+12109</f>
        <v>584941.4</v>
      </c>
      <c r="C5" s="81" t="s">
        <v>421</v>
      </c>
      <c r="D5" s="84" t="s">
        <v>213</v>
      </c>
    </row>
    <row r="6" spans="1:7" ht="54.75" customHeight="1" x14ac:dyDescent="0.25">
      <c r="A6" s="82" t="s">
        <v>145</v>
      </c>
      <c r="B6" s="165" t="s">
        <v>417</v>
      </c>
      <c r="C6" s="81" t="s">
        <v>505</v>
      </c>
      <c r="D6" s="84" t="s">
        <v>208</v>
      </c>
    </row>
    <row r="7" spans="1:7" ht="51.75" x14ac:dyDescent="0.25">
      <c r="A7" s="81" t="s">
        <v>171</v>
      </c>
      <c r="B7" s="95">
        <v>375957.41</v>
      </c>
      <c r="C7" s="81" t="s">
        <v>215</v>
      </c>
      <c r="D7" s="84" t="s">
        <v>211</v>
      </c>
      <c r="E7" s="84" t="s">
        <v>214</v>
      </c>
    </row>
    <row r="8" spans="1:7" ht="51.75" x14ac:dyDescent="0.25">
      <c r="A8" s="82" t="s">
        <v>209</v>
      </c>
      <c r="B8" s="161" t="s">
        <v>418</v>
      </c>
      <c r="C8" s="81" t="s">
        <v>504</v>
      </c>
      <c r="D8" s="84" t="s">
        <v>212</v>
      </c>
    </row>
    <row r="9" spans="1:7" ht="15.75" thickBot="1" x14ac:dyDescent="0.3">
      <c r="B9" s="16"/>
    </row>
    <row r="10" spans="1:7" ht="33" customHeight="1" x14ac:dyDescent="0.25">
      <c r="A10" s="198" t="s">
        <v>189</v>
      </c>
      <c r="B10" s="199">
        <f>SUM(B3:B8)</f>
        <v>1931408.8099999998</v>
      </c>
    </row>
    <row r="11" spans="1:7" ht="24" customHeight="1" x14ac:dyDescent="0.25">
      <c r="A11" s="200" t="s">
        <v>469</v>
      </c>
      <c r="B11" s="201">
        <f>B2</f>
        <v>1550000</v>
      </c>
      <c r="C11" s="15"/>
    </row>
    <row r="12" spans="1:7" ht="15.75" thickBot="1" x14ac:dyDescent="0.3">
      <c r="A12" s="191" t="s">
        <v>210</v>
      </c>
      <c r="B12" s="192">
        <f>B10+B11</f>
        <v>3481408.8099999996</v>
      </c>
    </row>
  </sheetData>
  <hyperlinks>
    <hyperlink ref="D2" r:id="rId1"/>
    <hyperlink ref="E2" r:id="rId2"/>
    <hyperlink ref="D4" r:id="rId3"/>
    <hyperlink ref="D6" r:id="rId4"/>
    <hyperlink ref="D7" r:id="rId5"/>
    <hyperlink ref="D8" r:id="rId6" display="Hawaii commitments"/>
    <hyperlink ref="D5" r:id="rId7" display="https://www.scribd.com/document/279510696/Ante-Propuesta-de-Conservacion-Marina-Mesa-Del-Mar-Sept-2015"/>
    <hyperlink ref="E7" r:id="rId8" display="SIDS"/>
    <hyperlink ref="E3" r:id="rId9"/>
    <hyperlink ref="D3" r:id="rId10" display="M"/>
    <hyperlink ref="F3" r:id="rId11" location="commitments-main"/>
  </hyperlinks>
  <pageMargins left="0.7" right="0.7" top="0.75" bottom="0.75" header="0.3" footer="0.3"/>
  <pageSetup paperSize="9" orientation="landscape"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activeCell="F22" sqref="F22"/>
    </sheetView>
  </sheetViews>
  <sheetFormatPr defaultRowHeight="15" x14ac:dyDescent="0.25"/>
  <cols>
    <col min="1" max="1" width="29.140625" customWidth="1"/>
    <col min="2" max="2" width="15.7109375" customWidth="1"/>
    <col min="3" max="3" width="23" customWidth="1"/>
    <col min="4" max="4" width="27.140625" customWidth="1"/>
    <col min="5" max="5" width="19.85546875" customWidth="1"/>
    <col min="10" max="10" width="9.140625" customWidth="1"/>
  </cols>
  <sheetData>
    <row r="1" spans="1:16" ht="15.75" thickBot="1" x14ac:dyDescent="0.3">
      <c r="A1" s="65" t="s">
        <v>158</v>
      </c>
      <c r="B1" s="63" t="s">
        <v>161</v>
      </c>
      <c r="C1" s="58"/>
      <c r="E1" s="49"/>
      <c r="F1" s="49"/>
      <c r="G1" s="212"/>
      <c r="H1" s="212"/>
      <c r="I1" s="212"/>
      <c r="J1" s="52"/>
      <c r="K1" s="52"/>
      <c r="L1" s="52"/>
      <c r="M1" s="52"/>
      <c r="N1" s="52"/>
      <c r="O1" s="52"/>
      <c r="P1" s="52"/>
    </row>
    <row r="2" spans="1:16" ht="46.5" customHeight="1" thickBot="1" x14ac:dyDescent="0.3">
      <c r="A2" s="211" t="s">
        <v>144</v>
      </c>
      <c r="B2" s="78" t="s">
        <v>475</v>
      </c>
      <c r="C2" s="51" t="s">
        <v>476</v>
      </c>
      <c r="D2" s="206" t="s">
        <v>360</v>
      </c>
      <c r="E2" s="206"/>
      <c r="G2" s="57"/>
      <c r="H2" s="52"/>
      <c r="I2" s="52"/>
      <c r="J2" s="52"/>
      <c r="K2" s="52"/>
      <c r="L2" s="52"/>
      <c r="M2" s="52"/>
      <c r="N2" s="52"/>
      <c r="O2" s="52"/>
      <c r="P2" s="52"/>
    </row>
    <row r="3" spans="1:16" ht="18.75" customHeight="1" x14ac:dyDescent="0.25">
      <c r="A3" t="s">
        <v>145</v>
      </c>
      <c r="B3" s="210">
        <v>110483.93273875155</v>
      </c>
      <c r="C3" s="53">
        <v>0</v>
      </c>
      <c r="D3" s="122"/>
      <c r="E3" s="122"/>
      <c r="G3" s="57"/>
      <c r="H3" s="52"/>
      <c r="I3" s="52"/>
      <c r="J3" s="52"/>
      <c r="K3" s="52"/>
      <c r="L3" s="52"/>
      <c r="M3" s="52"/>
      <c r="N3" s="52"/>
      <c r="O3" s="52"/>
      <c r="P3" s="52"/>
    </row>
    <row r="4" spans="1:16" x14ac:dyDescent="0.25">
      <c r="A4" t="s">
        <v>146</v>
      </c>
      <c r="B4" s="210">
        <v>227480.14501241629</v>
      </c>
      <c r="C4" s="53">
        <v>62550.247143444503</v>
      </c>
      <c r="D4" s="7"/>
      <c r="E4" s="7"/>
      <c r="G4" s="213"/>
      <c r="H4" s="52"/>
      <c r="I4" s="52"/>
      <c r="J4" s="52"/>
      <c r="K4" s="52"/>
      <c r="L4" s="52"/>
      <c r="M4" s="52"/>
      <c r="N4" s="52"/>
      <c r="O4" s="52"/>
      <c r="P4" s="52"/>
    </row>
    <row r="5" spans="1:16" x14ac:dyDescent="0.25">
      <c r="A5" s="225" t="s">
        <v>147</v>
      </c>
      <c r="B5" s="210">
        <v>89579.84748572926</v>
      </c>
      <c r="C5" s="53">
        <v>0</v>
      </c>
      <c r="D5" s="7"/>
      <c r="E5" s="7"/>
      <c r="G5" s="213"/>
      <c r="H5" s="52"/>
      <c r="I5" s="52"/>
      <c r="J5" s="52"/>
      <c r="K5" s="52"/>
      <c r="L5" s="52"/>
      <c r="M5" s="52"/>
      <c r="N5" s="52"/>
      <c r="O5" s="52"/>
      <c r="P5" s="52"/>
    </row>
    <row r="6" spans="1:16" x14ac:dyDescent="0.25">
      <c r="A6" s="225" t="s">
        <v>148</v>
      </c>
      <c r="B6" s="210">
        <v>4598.704382764744</v>
      </c>
      <c r="C6" s="53">
        <v>1361.2466272111046</v>
      </c>
      <c r="E6" s="7"/>
      <c r="G6" s="213"/>
      <c r="H6" s="52"/>
      <c r="I6" s="52"/>
      <c r="J6" s="52"/>
      <c r="K6" s="52"/>
      <c r="L6" s="52"/>
      <c r="M6" s="52"/>
      <c r="N6" s="52"/>
      <c r="O6" s="52"/>
      <c r="P6" s="52"/>
    </row>
    <row r="7" spans="1:16" x14ac:dyDescent="0.25">
      <c r="A7" s="225" t="s">
        <v>474</v>
      </c>
      <c r="B7" s="210">
        <v>25547.057665846925</v>
      </c>
      <c r="C7" s="53">
        <v>2450.05213868803</v>
      </c>
      <c r="E7" s="7"/>
      <c r="G7" s="213"/>
      <c r="H7" s="52"/>
      <c r="I7" s="52"/>
      <c r="J7" s="52"/>
      <c r="K7" s="52"/>
      <c r="L7" s="52"/>
      <c r="M7" s="52"/>
      <c r="N7" s="52"/>
      <c r="O7" s="52"/>
      <c r="P7" s="52"/>
    </row>
    <row r="8" spans="1:16" x14ac:dyDescent="0.25">
      <c r="B8" s="210"/>
      <c r="C8" s="210"/>
      <c r="D8" s="53"/>
      <c r="E8" s="7"/>
      <c r="F8" s="7"/>
      <c r="G8" s="213"/>
      <c r="H8" s="52"/>
      <c r="I8" s="52"/>
      <c r="J8" s="52"/>
      <c r="K8" s="52"/>
      <c r="L8" s="52"/>
      <c r="M8" s="52"/>
      <c r="N8" s="52"/>
      <c r="O8" s="52"/>
      <c r="P8" s="52"/>
    </row>
    <row r="9" spans="1:16" x14ac:dyDescent="0.25">
      <c r="A9" s="67" t="s">
        <v>28</v>
      </c>
      <c r="B9" s="207"/>
      <c r="C9" s="68">
        <f>SUM(C3:C7)</f>
        <v>66361.545909343637</v>
      </c>
      <c r="E9" s="52"/>
      <c r="G9" s="52"/>
      <c r="H9" s="52"/>
      <c r="I9" s="52"/>
      <c r="J9" s="52"/>
      <c r="K9" s="52"/>
      <c r="L9" s="52"/>
      <c r="M9" s="52"/>
      <c r="N9" s="52"/>
      <c r="O9" s="52"/>
      <c r="P9" s="52"/>
    </row>
    <row r="10" spans="1:16" x14ac:dyDescent="0.25">
      <c r="A10" s="54" t="s">
        <v>149</v>
      </c>
      <c r="B10" s="54"/>
      <c r="C10" s="54"/>
      <c r="G10" s="52"/>
      <c r="H10" s="52"/>
      <c r="I10" s="52"/>
      <c r="J10" s="52"/>
      <c r="K10" s="52"/>
      <c r="L10" s="52"/>
      <c r="M10" s="52"/>
      <c r="N10" s="52"/>
      <c r="O10" s="52"/>
      <c r="P10" s="52"/>
    </row>
    <row r="11" spans="1:16" ht="26.25" customHeight="1" x14ac:dyDescent="0.25">
      <c r="A11" s="81" t="s">
        <v>450</v>
      </c>
      <c r="B11" s="209" t="s">
        <v>482</v>
      </c>
      <c r="C11" s="209"/>
      <c r="D11" s="205"/>
      <c r="E11" s="205"/>
      <c r="F11" s="205"/>
      <c r="G11" s="214"/>
      <c r="H11" s="214"/>
      <c r="I11" s="52"/>
      <c r="J11" s="52"/>
      <c r="K11" s="52"/>
      <c r="L11" s="52"/>
      <c r="M11" s="52"/>
      <c r="N11" s="52"/>
      <c r="O11" s="52"/>
      <c r="P11" s="52"/>
    </row>
    <row r="12" spans="1:16" ht="26.25" customHeight="1" x14ac:dyDescent="0.25">
      <c r="A12" s="81" t="s">
        <v>422</v>
      </c>
      <c r="B12" s="209" t="s">
        <v>483</v>
      </c>
      <c r="C12" s="209"/>
      <c r="D12" s="205"/>
      <c r="E12" s="205"/>
      <c r="F12" s="98"/>
      <c r="G12" s="215"/>
      <c r="H12" s="175"/>
      <c r="I12" s="52"/>
      <c r="J12" s="52"/>
      <c r="K12" s="52"/>
      <c r="L12" s="52"/>
      <c r="M12" s="52"/>
      <c r="N12" s="52"/>
      <c r="O12" s="52"/>
      <c r="P12" s="52"/>
    </row>
    <row r="13" spans="1:16" x14ac:dyDescent="0.25">
      <c r="G13" s="52"/>
      <c r="H13" s="52"/>
      <c r="I13" s="52"/>
      <c r="J13" s="52"/>
      <c r="K13" s="52"/>
      <c r="L13" s="52"/>
      <c r="M13" s="52"/>
      <c r="N13" s="52"/>
      <c r="O13" s="52"/>
      <c r="P13" s="52"/>
    </row>
    <row r="14" spans="1:16" ht="15.75" thickBot="1" x14ac:dyDescent="0.3">
      <c r="A14" s="66" t="s">
        <v>159</v>
      </c>
      <c r="B14" s="55" t="s">
        <v>160</v>
      </c>
      <c r="C14" s="55"/>
      <c r="D14" s="55"/>
      <c r="E14" s="56"/>
      <c r="F14" s="212"/>
      <c r="G14" s="212"/>
      <c r="H14" s="212"/>
      <c r="I14" s="52"/>
      <c r="J14" s="52"/>
      <c r="K14" s="52"/>
      <c r="L14" s="52"/>
      <c r="M14" s="52"/>
      <c r="N14" s="52"/>
      <c r="O14" s="52"/>
      <c r="P14" s="52"/>
    </row>
    <row r="15" spans="1:16" ht="51" customHeight="1" x14ac:dyDescent="0.25">
      <c r="A15" s="50" t="s">
        <v>144</v>
      </c>
      <c r="B15" s="51" t="s">
        <v>477</v>
      </c>
      <c r="C15" s="51" t="s">
        <v>478</v>
      </c>
      <c r="D15" s="117" t="s">
        <v>150</v>
      </c>
      <c r="F15" s="217"/>
      <c r="G15" s="57"/>
      <c r="H15" s="57"/>
      <c r="I15" s="57"/>
      <c r="J15" s="52"/>
      <c r="K15" s="52"/>
      <c r="L15" s="52"/>
      <c r="M15" s="52"/>
      <c r="N15" s="52"/>
      <c r="O15" s="52"/>
      <c r="P15" s="52"/>
    </row>
    <row r="16" spans="1:16" x14ac:dyDescent="0.25">
      <c r="A16" s="58" t="s">
        <v>4</v>
      </c>
      <c r="B16" s="7">
        <v>597705.1</v>
      </c>
      <c r="C16" s="59">
        <v>91160.01999999999</v>
      </c>
      <c r="D16" s="175" t="s">
        <v>151</v>
      </c>
      <c r="E16" s="216"/>
      <c r="F16" s="52"/>
      <c r="G16" s="52"/>
      <c r="H16" s="60"/>
      <c r="I16" s="60"/>
      <c r="J16" s="60"/>
      <c r="K16" s="52"/>
      <c r="L16" s="52"/>
      <c r="M16" s="52"/>
      <c r="N16" s="52"/>
      <c r="O16" s="52"/>
      <c r="P16" s="52"/>
    </row>
    <row r="17" spans="1:17" x14ac:dyDescent="0.25">
      <c r="A17" s="58" t="s">
        <v>152</v>
      </c>
      <c r="B17" s="7">
        <v>80529.5</v>
      </c>
      <c r="C17" s="59">
        <v>16102.590000000002</v>
      </c>
      <c r="D17" s="175"/>
      <c r="G17" s="52"/>
      <c r="H17" s="60"/>
      <c r="I17" s="60"/>
      <c r="J17" s="60"/>
      <c r="K17" s="52"/>
      <c r="L17" s="52"/>
      <c r="M17" s="52"/>
      <c r="N17" s="52"/>
      <c r="O17" s="52"/>
      <c r="P17" s="52"/>
    </row>
    <row r="18" spans="1:17" x14ac:dyDescent="0.25">
      <c r="A18" s="58" t="s">
        <v>153</v>
      </c>
      <c r="B18" s="7">
        <v>270774.2</v>
      </c>
      <c r="C18" s="59">
        <v>29555.840000000004</v>
      </c>
      <c r="D18" s="175"/>
      <c r="G18" s="52"/>
      <c r="H18" s="60"/>
      <c r="I18" s="60"/>
      <c r="J18" s="60"/>
      <c r="K18" s="52"/>
      <c r="L18" s="52"/>
      <c r="M18" s="52"/>
      <c r="N18" s="52"/>
      <c r="O18" s="52"/>
      <c r="P18" s="52"/>
    </row>
    <row r="19" spans="1:17" x14ac:dyDescent="0.25">
      <c r="A19" s="58" t="s">
        <v>113</v>
      </c>
      <c r="B19" s="7">
        <v>26281.5</v>
      </c>
      <c r="C19" s="59">
        <v>3978</v>
      </c>
      <c r="D19" s="175" t="s">
        <v>355</v>
      </c>
      <c r="G19" s="52"/>
      <c r="H19" s="60"/>
      <c r="I19" s="60"/>
      <c r="J19" s="60"/>
      <c r="K19" s="52"/>
    </row>
    <row r="20" spans="1:17" x14ac:dyDescent="0.25">
      <c r="A20" s="58" t="s">
        <v>116</v>
      </c>
      <c r="B20" s="7">
        <v>246488.5</v>
      </c>
      <c r="C20" s="59">
        <v>24648.850000000002</v>
      </c>
      <c r="D20" s="176" t="s">
        <v>400</v>
      </c>
      <c r="G20" s="52"/>
      <c r="H20" s="60"/>
      <c r="I20" s="60"/>
      <c r="J20" s="60"/>
      <c r="K20" s="52"/>
    </row>
    <row r="21" spans="1:17" x14ac:dyDescent="0.25">
      <c r="A21" s="58" t="s">
        <v>479</v>
      </c>
      <c r="B21" s="7">
        <v>176163.1</v>
      </c>
      <c r="C21" s="59">
        <v>32156.620000000003</v>
      </c>
      <c r="D21" s="176"/>
      <c r="G21" s="52"/>
      <c r="H21" s="60"/>
      <c r="I21" s="60"/>
      <c r="J21" s="60"/>
      <c r="K21" s="52"/>
    </row>
    <row r="22" spans="1:17" x14ac:dyDescent="0.25">
      <c r="A22" s="58" t="s">
        <v>154</v>
      </c>
      <c r="B22" s="7">
        <v>10262.9</v>
      </c>
      <c r="C22" s="59">
        <v>991</v>
      </c>
      <c r="D22" s="175" t="s">
        <v>356</v>
      </c>
      <c r="G22" s="52"/>
      <c r="H22" s="60"/>
      <c r="I22" s="60"/>
      <c r="J22" s="60"/>
      <c r="K22" s="52"/>
    </row>
    <row r="23" spans="1:17" x14ac:dyDescent="0.25">
      <c r="A23" s="58" t="s">
        <v>155</v>
      </c>
      <c r="B23" s="7">
        <v>15560.3</v>
      </c>
      <c r="C23" s="59">
        <v>1556</v>
      </c>
      <c r="D23" s="175" t="s">
        <v>357</v>
      </c>
      <c r="G23" s="52"/>
      <c r="H23" s="60"/>
      <c r="I23" s="60"/>
      <c r="J23" s="60"/>
      <c r="K23" s="52"/>
    </row>
    <row r="24" spans="1:17" x14ac:dyDescent="0.25">
      <c r="A24" s="58" t="s">
        <v>156</v>
      </c>
      <c r="B24" s="7">
        <v>36510.9</v>
      </c>
      <c r="C24" s="59">
        <v>6038.0884563460004</v>
      </c>
      <c r="D24" s="175" t="s">
        <v>157</v>
      </c>
      <c r="G24" s="52"/>
      <c r="H24" s="60"/>
      <c r="I24" s="60"/>
      <c r="J24" s="60"/>
      <c r="K24" s="52"/>
    </row>
    <row r="25" spans="1:17" x14ac:dyDescent="0.25">
      <c r="A25" s="67" t="s">
        <v>28</v>
      </c>
      <c r="B25" s="207"/>
      <c r="C25" s="69">
        <f>SUM(C16:C24)</f>
        <v>206187.008456346</v>
      </c>
      <c r="E25" s="52"/>
      <c r="I25" s="52"/>
      <c r="J25" s="52"/>
      <c r="K25" s="52"/>
      <c r="L25" s="52"/>
      <c r="M25" s="52"/>
    </row>
    <row r="26" spans="1:17" ht="13.5" customHeight="1" thickBot="1" x14ac:dyDescent="0.3">
      <c r="I26" s="52"/>
      <c r="J26" s="60"/>
      <c r="K26" s="60"/>
      <c r="L26" s="52"/>
      <c r="M26" s="52"/>
    </row>
    <row r="27" spans="1:17" ht="15.75" thickBot="1" x14ac:dyDescent="0.3">
      <c r="A27" s="61" t="s">
        <v>480</v>
      </c>
      <c r="B27" s="208"/>
      <c r="C27" s="62">
        <f>C25+C9</f>
        <v>272548.55436568963</v>
      </c>
      <c r="M27" s="52"/>
      <c r="N27" s="52"/>
      <c r="O27" s="52"/>
      <c r="P27" s="52"/>
      <c r="Q27" s="52"/>
    </row>
  </sheetData>
  <hyperlinks>
    <hyperlink ref="A1" r:id="rId1"/>
    <hyperlink ref="A14" r:id="rId2"/>
  </hyperlinks>
  <pageMargins left="0.7" right="0.7" top="0.75" bottom="0.75" header="0.3" footer="0.3"/>
  <pageSetup paperSize="9"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4"/>
  <sheetViews>
    <sheetView zoomScaleNormal="100" workbookViewId="0">
      <selection activeCell="I13" sqref="I13"/>
    </sheetView>
  </sheetViews>
  <sheetFormatPr defaultRowHeight="15" x14ac:dyDescent="0.25"/>
  <cols>
    <col min="1" max="1" width="13.140625" style="3" customWidth="1"/>
    <col min="2" max="2" width="46.28515625" style="3" customWidth="1"/>
    <col min="3" max="3" width="9" style="48" customWidth="1"/>
    <col min="4" max="4" width="23" style="48" customWidth="1"/>
    <col min="5" max="5" width="9.42578125" style="3" customWidth="1"/>
    <col min="6" max="16384" width="9.140625" style="3"/>
  </cols>
  <sheetData>
    <row r="1" spans="1:7" ht="63" thickBot="1" x14ac:dyDescent="0.3">
      <c r="A1" s="42" t="s">
        <v>1</v>
      </c>
      <c r="B1" s="32" t="s">
        <v>471</v>
      </c>
      <c r="C1" s="111" t="s">
        <v>81</v>
      </c>
      <c r="D1" s="32" t="s">
        <v>472</v>
      </c>
      <c r="E1" s="33" t="s">
        <v>82</v>
      </c>
    </row>
    <row r="2" spans="1:7" ht="30" x14ac:dyDescent="0.25">
      <c r="A2" s="44" t="s">
        <v>29</v>
      </c>
      <c r="B2" s="34" t="s">
        <v>83</v>
      </c>
      <c r="C2" s="112">
        <v>0.06</v>
      </c>
      <c r="D2" s="45">
        <v>367.57399999999996</v>
      </c>
      <c r="E2" s="35">
        <v>54</v>
      </c>
      <c r="G2" s="16"/>
    </row>
    <row r="3" spans="1:7" ht="30" x14ac:dyDescent="0.25">
      <c r="A3" s="44" t="s">
        <v>84</v>
      </c>
      <c r="B3" s="34" t="s">
        <v>85</v>
      </c>
      <c r="C3" s="112">
        <v>0.1</v>
      </c>
      <c r="D3" s="45">
        <v>10677.65</v>
      </c>
      <c r="E3" s="35" t="s">
        <v>86</v>
      </c>
      <c r="G3" s="16"/>
    </row>
    <row r="4" spans="1:7" ht="30" x14ac:dyDescent="0.25">
      <c r="A4" s="44" t="s">
        <v>87</v>
      </c>
      <c r="B4" s="34" t="s">
        <v>88</v>
      </c>
      <c r="C4" s="112">
        <v>0.04</v>
      </c>
      <c r="D4" s="45">
        <v>0</v>
      </c>
      <c r="E4" s="93" t="s">
        <v>100</v>
      </c>
      <c r="G4" s="16"/>
    </row>
    <row r="5" spans="1:7" ht="30" x14ac:dyDescent="0.25">
      <c r="A5" s="162" t="s">
        <v>166</v>
      </c>
      <c r="B5" s="36" t="s">
        <v>396</v>
      </c>
      <c r="C5" s="170" t="s">
        <v>397</v>
      </c>
      <c r="D5" s="163">
        <v>1230.6420000000001</v>
      </c>
      <c r="E5" s="38" t="s">
        <v>100</v>
      </c>
    </row>
    <row r="6" spans="1:7" ht="30" x14ac:dyDescent="0.25">
      <c r="A6" s="44" t="s">
        <v>89</v>
      </c>
      <c r="B6" s="34" t="s">
        <v>90</v>
      </c>
      <c r="C6" s="112" t="s">
        <v>91</v>
      </c>
      <c r="D6" s="45">
        <v>763.28</v>
      </c>
      <c r="E6" s="35">
        <v>51</v>
      </c>
      <c r="G6" s="16"/>
    </row>
    <row r="7" spans="1:7" ht="30" x14ac:dyDescent="0.25">
      <c r="A7" s="44" t="s">
        <v>92</v>
      </c>
      <c r="B7" s="34" t="s">
        <v>93</v>
      </c>
      <c r="C7" s="112">
        <v>0.1</v>
      </c>
      <c r="D7" s="45">
        <v>0</v>
      </c>
      <c r="E7" s="35" t="s">
        <v>94</v>
      </c>
      <c r="G7" s="16"/>
    </row>
    <row r="8" spans="1:7" ht="30" x14ac:dyDescent="0.25">
      <c r="A8" s="44" t="s">
        <v>95</v>
      </c>
      <c r="B8" s="34" t="s">
        <v>96</v>
      </c>
      <c r="C8" s="112">
        <v>0.05</v>
      </c>
      <c r="D8" s="45">
        <v>1520.9634319113875</v>
      </c>
      <c r="E8" s="35" t="s">
        <v>227</v>
      </c>
      <c r="G8" s="16"/>
    </row>
    <row r="9" spans="1:7" ht="30" x14ac:dyDescent="0.25">
      <c r="A9" s="44" t="s">
        <v>97</v>
      </c>
      <c r="B9" s="34" t="s">
        <v>98</v>
      </c>
      <c r="C9" s="112">
        <v>0.1</v>
      </c>
      <c r="D9" s="45">
        <v>130377.43</v>
      </c>
      <c r="E9" s="35">
        <v>68</v>
      </c>
      <c r="G9" s="16"/>
    </row>
    <row r="10" spans="1:7" ht="51" customHeight="1" x14ac:dyDescent="0.25">
      <c r="A10" s="43" t="s">
        <v>32</v>
      </c>
      <c r="B10" s="36" t="s">
        <v>99</v>
      </c>
      <c r="C10" s="46" t="s">
        <v>100</v>
      </c>
      <c r="D10" s="45">
        <v>83.88</v>
      </c>
      <c r="E10" s="35" t="s">
        <v>101</v>
      </c>
      <c r="G10" s="16"/>
    </row>
    <row r="11" spans="1:7" ht="30" x14ac:dyDescent="0.25">
      <c r="A11" s="44" t="s">
        <v>102</v>
      </c>
      <c r="B11" s="34" t="s">
        <v>85</v>
      </c>
      <c r="C11" s="112">
        <v>0.1</v>
      </c>
      <c r="D11" s="45">
        <v>484393.27</v>
      </c>
      <c r="E11" s="35" t="s">
        <v>226</v>
      </c>
      <c r="G11" s="16"/>
    </row>
    <row r="12" spans="1:7" ht="30" x14ac:dyDescent="0.25">
      <c r="A12" s="44" t="s">
        <v>103</v>
      </c>
      <c r="B12" s="34" t="s">
        <v>85</v>
      </c>
      <c r="C12" s="113">
        <v>0.05</v>
      </c>
      <c r="D12" s="45">
        <v>565</v>
      </c>
      <c r="E12" s="35">
        <v>103</v>
      </c>
      <c r="G12" s="16"/>
    </row>
    <row r="13" spans="1:7" ht="30" x14ac:dyDescent="0.25">
      <c r="A13" s="178" t="s">
        <v>11</v>
      </c>
      <c r="B13" s="34" t="s">
        <v>88</v>
      </c>
      <c r="C13" s="113">
        <v>0.04</v>
      </c>
      <c r="D13" s="202">
        <f>'All country data'!G42</f>
        <v>10176.8652</v>
      </c>
      <c r="E13" s="203">
        <v>66</v>
      </c>
      <c r="F13" s="204"/>
      <c r="G13" s="16"/>
    </row>
    <row r="14" spans="1:7" ht="30" x14ac:dyDescent="0.25">
      <c r="A14" s="43" t="s">
        <v>12</v>
      </c>
      <c r="B14" s="37" t="s">
        <v>139</v>
      </c>
      <c r="C14" s="114">
        <v>0.27</v>
      </c>
      <c r="D14" s="45">
        <v>78439.968000000008</v>
      </c>
      <c r="E14" s="35" t="s">
        <v>104</v>
      </c>
      <c r="G14" s="16"/>
    </row>
    <row r="15" spans="1:7" ht="30" x14ac:dyDescent="0.25">
      <c r="A15" s="44" t="s">
        <v>105</v>
      </c>
      <c r="B15" s="34" t="s">
        <v>106</v>
      </c>
      <c r="C15" s="112">
        <v>0.15</v>
      </c>
      <c r="D15" s="45">
        <v>4308.38</v>
      </c>
      <c r="E15" s="35" t="s">
        <v>107</v>
      </c>
      <c r="G15" s="16"/>
    </row>
    <row r="16" spans="1:7" ht="30" x14ac:dyDescent="0.25">
      <c r="A16" s="44" t="s">
        <v>14</v>
      </c>
      <c r="B16" s="34" t="s">
        <v>108</v>
      </c>
      <c r="C16" s="100" t="s">
        <v>473</v>
      </c>
      <c r="D16" s="45">
        <v>0</v>
      </c>
      <c r="E16" s="35">
        <v>61</v>
      </c>
      <c r="G16" s="16"/>
    </row>
    <row r="17" spans="1:7" ht="30" x14ac:dyDescent="0.25">
      <c r="A17" s="44" t="s">
        <v>109</v>
      </c>
      <c r="B17" s="34" t="s">
        <v>85</v>
      </c>
      <c r="C17" s="112">
        <v>0.1</v>
      </c>
      <c r="D17" s="45">
        <v>0</v>
      </c>
      <c r="E17" s="93">
        <v>24</v>
      </c>
      <c r="G17" s="16"/>
    </row>
    <row r="18" spans="1:7" ht="30" x14ac:dyDescent="0.25">
      <c r="A18" s="44" t="s">
        <v>110</v>
      </c>
      <c r="B18" s="34" t="s">
        <v>85</v>
      </c>
      <c r="C18" s="112">
        <v>0.1</v>
      </c>
      <c r="D18" s="45">
        <v>2258.5500000000002</v>
      </c>
      <c r="E18" s="35" t="s">
        <v>111</v>
      </c>
      <c r="G18" s="16"/>
    </row>
    <row r="19" spans="1:7" ht="31.5" customHeight="1" x14ac:dyDescent="0.25">
      <c r="A19" s="44" t="s">
        <v>38</v>
      </c>
      <c r="B19" s="34" t="s">
        <v>112</v>
      </c>
      <c r="C19" s="115">
        <v>2.5000000000000001E-2</v>
      </c>
      <c r="D19" s="45">
        <v>419.67500000000007</v>
      </c>
      <c r="E19" s="35">
        <v>22</v>
      </c>
      <c r="G19" s="16"/>
    </row>
    <row r="20" spans="1:7" ht="30" x14ac:dyDescent="0.25">
      <c r="A20" s="44" t="s">
        <v>113</v>
      </c>
      <c r="B20" s="36" t="s">
        <v>140</v>
      </c>
      <c r="C20" s="46" t="s">
        <v>100</v>
      </c>
      <c r="D20" s="45">
        <v>0</v>
      </c>
      <c r="E20" s="35" t="s">
        <v>114</v>
      </c>
      <c r="G20" s="16"/>
    </row>
    <row r="21" spans="1:7" ht="34.5" customHeight="1" x14ac:dyDescent="0.25">
      <c r="A21" s="44" t="s">
        <v>115</v>
      </c>
      <c r="B21" s="37" t="s">
        <v>229</v>
      </c>
      <c r="C21" s="112" t="s">
        <v>100</v>
      </c>
      <c r="D21" s="45">
        <v>9076</v>
      </c>
      <c r="E21" s="96" t="s">
        <v>228</v>
      </c>
      <c r="G21" s="16"/>
    </row>
    <row r="22" spans="1:7" x14ac:dyDescent="0.25">
      <c r="A22" s="44" t="s">
        <v>116</v>
      </c>
      <c r="B22" s="34" t="s">
        <v>117</v>
      </c>
      <c r="C22" s="112">
        <v>0.1</v>
      </c>
      <c r="D22" s="45">
        <v>14748.850000000002</v>
      </c>
      <c r="E22" s="38">
        <v>86</v>
      </c>
      <c r="G22" s="16"/>
    </row>
    <row r="23" spans="1:7" ht="30" x14ac:dyDescent="0.25">
      <c r="A23" s="44" t="s">
        <v>118</v>
      </c>
      <c r="B23" s="40" t="s">
        <v>141</v>
      </c>
      <c r="C23" s="112">
        <v>0.1</v>
      </c>
      <c r="D23" s="45">
        <v>384121.13</v>
      </c>
      <c r="E23" s="94">
        <v>121</v>
      </c>
      <c r="G23" s="16"/>
    </row>
    <row r="24" spans="1:7" ht="30" x14ac:dyDescent="0.25">
      <c r="A24" s="44" t="s">
        <v>119</v>
      </c>
      <c r="B24" s="34" t="s">
        <v>142</v>
      </c>
      <c r="C24" s="112">
        <v>0.1</v>
      </c>
      <c r="D24" s="45">
        <v>9</v>
      </c>
      <c r="E24" s="35">
        <v>72</v>
      </c>
      <c r="G24" s="16"/>
    </row>
    <row r="25" spans="1:7" ht="30" x14ac:dyDescent="0.25">
      <c r="A25" s="44" t="s">
        <v>69</v>
      </c>
      <c r="B25" s="34" t="s">
        <v>93</v>
      </c>
      <c r="C25" s="112">
        <v>0.1</v>
      </c>
      <c r="D25" s="45">
        <v>0</v>
      </c>
      <c r="E25" s="35">
        <v>294</v>
      </c>
      <c r="G25" s="16"/>
    </row>
    <row r="26" spans="1:7" ht="30" x14ac:dyDescent="0.25">
      <c r="A26" s="44" t="s">
        <v>120</v>
      </c>
      <c r="B26" s="34" t="s">
        <v>121</v>
      </c>
      <c r="C26" s="112">
        <v>0.1</v>
      </c>
      <c r="D26" s="45">
        <v>26341.640000000003</v>
      </c>
      <c r="E26" s="35">
        <v>50</v>
      </c>
      <c r="G26" s="16"/>
    </row>
    <row r="27" spans="1:7" ht="30" x14ac:dyDescent="0.25">
      <c r="A27" s="44" t="s">
        <v>122</v>
      </c>
      <c r="B27" s="34" t="s">
        <v>85</v>
      </c>
      <c r="C27" s="112">
        <v>0.1</v>
      </c>
      <c r="D27" s="45">
        <v>0</v>
      </c>
      <c r="E27" s="35">
        <v>31</v>
      </c>
      <c r="G27" s="16"/>
    </row>
    <row r="28" spans="1:7" ht="30" x14ac:dyDescent="0.25">
      <c r="A28" s="44" t="s">
        <v>55</v>
      </c>
      <c r="B28" s="34" t="s">
        <v>123</v>
      </c>
      <c r="C28" s="112">
        <v>0.1</v>
      </c>
      <c r="D28" s="45">
        <v>27200.38</v>
      </c>
      <c r="E28" s="35">
        <v>36</v>
      </c>
      <c r="G28" s="16"/>
    </row>
    <row r="29" spans="1:7" ht="30" x14ac:dyDescent="0.25">
      <c r="A29" s="44" t="s">
        <v>124</v>
      </c>
      <c r="B29" s="34" t="s">
        <v>125</v>
      </c>
      <c r="C29" s="112">
        <v>0.1</v>
      </c>
      <c r="D29" s="45">
        <v>539084.41</v>
      </c>
      <c r="E29" s="35">
        <v>178</v>
      </c>
      <c r="G29" s="16"/>
    </row>
    <row r="30" spans="1:7" ht="30" x14ac:dyDescent="0.25">
      <c r="A30" s="44" t="s">
        <v>126</v>
      </c>
      <c r="B30" s="34" t="s">
        <v>123</v>
      </c>
      <c r="C30" s="112">
        <v>0.1</v>
      </c>
      <c r="D30" s="45">
        <v>13117.560000000001</v>
      </c>
      <c r="E30" s="35">
        <v>36</v>
      </c>
      <c r="G30" s="16"/>
    </row>
    <row r="31" spans="1:7" ht="30" x14ac:dyDescent="0.25">
      <c r="A31" s="44" t="s">
        <v>127</v>
      </c>
      <c r="B31" s="34" t="s">
        <v>123</v>
      </c>
      <c r="C31" s="112">
        <v>0.1</v>
      </c>
      <c r="D31" s="45">
        <v>0</v>
      </c>
      <c r="E31" s="35">
        <v>63</v>
      </c>
      <c r="G31" s="16"/>
    </row>
    <row r="32" spans="1:7" ht="30" x14ac:dyDescent="0.25">
      <c r="A32" s="44" t="s">
        <v>128</v>
      </c>
      <c r="B32" s="34" t="s">
        <v>129</v>
      </c>
      <c r="C32" s="112">
        <v>0.15</v>
      </c>
      <c r="D32" s="45">
        <v>239563.47499999998</v>
      </c>
      <c r="E32" s="35">
        <v>114</v>
      </c>
      <c r="G32" s="16"/>
    </row>
    <row r="33" spans="1:7" ht="30" x14ac:dyDescent="0.25">
      <c r="A33" s="44" t="s">
        <v>70</v>
      </c>
      <c r="B33" s="34" t="s">
        <v>130</v>
      </c>
      <c r="C33" s="112">
        <v>0.1</v>
      </c>
      <c r="D33" s="45">
        <v>0</v>
      </c>
      <c r="E33" s="35">
        <v>69</v>
      </c>
      <c r="G33" s="16"/>
    </row>
    <row r="34" spans="1:7" x14ac:dyDescent="0.25">
      <c r="A34" s="44" t="s">
        <v>131</v>
      </c>
      <c r="B34" s="34" t="s">
        <v>132</v>
      </c>
      <c r="C34" s="112">
        <v>0.1</v>
      </c>
      <c r="D34" s="45">
        <v>0</v>
      </c>
      <c r="E34" s="35">
        <v>8</v>
      </c>
      <c r="G34" s="16"/>
    </row>
    <row r="35" spans="1:7" ht="30" x14ac:dyDescent="0.25">
      <c r="A35" s="44" t="s">
        <v>133</v>
      </c>
      <c r="B35" s="34" t="s">
        <v>85</v>
      </c>
      <c r="C35" s="112">
        <v>0.1</v>
      </c>
      <c r="D35" s="45">
        <v>8881.3200000000015</v>
      </c>
      <c r="E35" s="101">
        <v>26</v>
      </c>
      <c r="G35" s="16"/>
    </row>
    <row r="36" spans="1:7" ht="45" x14ac:dyDescent="0.25">
      <c r="A36" s="44" t="s">
        <v>66</v>
      </c>
      <c r="B36" s="34" t="s">
        <v>134</v>
      </c>
      <c r="C36" s="112">
        <v>0.1</v>
      </c>
      <c r="D36" s="45">
        <v>16983.500000000004</v>
      </c>
      <c r="E36" s="35">
        <v>78</v>
      </c>
      <c r="G36" s="16"/>
    </row>
    <row r="37" spans="1:7" ht="30" x14ac:dyDescent="0.25">
      <c r="A37" s="44" t="s">
        <v>135</v>
      </c>
      <c r="B37" s="34" t="s">
        <v>136</v>
      </c>
      <c r="C37" s="112">
        <v>0.02</v>
      </c>
      <c r="D37" s="45">
        <v>0</v>
      </c>
      <c r="E37" s="35">
        <v>38</v>
      </c>
      <c r="G37" s="16"/>
    </row>
    <row r="38" spans="1:7" ht="36.75" customHeight="1" x14ac:dyDescent="0.25">
      <c r="A38" s="44" t="s">
        <v>137</v>
      </c>
      <c r="B38" s="34" t="s">
        <v>143</v>
      </c>
      <c r="C38" s="115">
        <v>2.3999999999999998E-3</v>
      </c>
      <c r="D38" s="45">
        <v>0</v>
      </c>
      <c r="E38" s="38" t="s">
        <v>138</v>
      </c>
    </row>
    <row r="39" spans="1:7" ht="15.75" thickBot="1" x14ac:dyDescent="0.3">
      <c r="B39" s="15"/>
      <c r="C39" s="46"/>
      <c r="D39" s="46"/>
      <c r="E39" s="38"/>
    </row>
    <row r="40" spans="1:7" ht="15.75" thickBot="1" x14ac:dyDescent="0.3">
      <c r="B40" s="15"/>
      <c r="C40" s="116" t="s">
        <v>28</v>
      </c>
      <c r="D40" s="47">
        <f>SUM(D2:D38)</f>
        <v>2004710.3926319114</v>
      </c>
      <c r="E40" s="39"/>
    </row>
    <row r="43" spans="1:7" x14ac:dyDescent="0.25">
      <c r="A43" s="41"/>
    </row>
    <row r="44" spans="1:7" x14ac:dyDescent="0.25">
      <c r="A44" s="41"/>
      <c r="D44" s="123"/>
    </row>
    <row r="45" spans="1:7" x14ac:dyDescent="0.25">
      <c r="A45" s="41"/>
    </row>
    <row r="46" spans="1:7" x14ac:dyDescent="0.25">
      <c r="A46" s="41"/>
      <c r="B46" s="48"/>
    </row>
    <row r="49" spans="4:4" x14ac:dyDescent="0.25">
      <c r="D49" s="3"/>
    </row>
    <row r="50" spans="4:4" x14ac:dyDescent="0.25">
      <c r="D50" s="3"/>
    </row>
    <row r="51" spans="4:4" x14ac:dyDescent="0.25">
      <c r="D51" s="3"/>
    </row>
    <row r="52" spans="4:4" x14ac:dyDescent="0.25">
      <c r="D52" s="3"/>
    </row>
    <row r="53" spans="4:4" x14ac:dyDescent="0.25">
      <c r="D53" s="3"/>
    </row>
    <row r="54" spans="4:4" x14ac:dyDescent="0.25">
      <c r="D54" s="3"/>
    </row>
    <row r="55" spans="4:4" x14ac:dyDescent="0.25">
      <c r="D55" s="3"/>
    </row>
    <row r="56" spans="4:4" x14ac:dyDescent="0.25">
      <c r="D56" s="3"/>
    </row>
    <row r="57" spans="4:4" x14ac:dyDescent="0.25">
      <c r="D57" s="3"/>
    </row>
    <row r="58" spans="4:4" x14ac:dyDescent="0.25">
      <c r="D58" s="3"/>
    </row>
    <row r="59" spans="4:4" x14ac:dyDescent="0.25">
      <c r="D59" s="3"/>
    </row>
    <row r="60" spans="4:4" x14ac:dyDescent="0.25">
      <c r="D60" s="3"/>
    </row>
    <row r="61" spans="4:4" x14ac:dyDescent="0.25">
      <c r="D61" s="3"/>
    </row>
    <row r="62" spans="4:4" x14ac:dyDescent="0.25">
      <c r="D62" s="3"/>
    </row>
    <row r="63" spans="4:4" x14ac:dyDescent="0.25">
      <c r="D63" s="3"/>
    </row>
    <row r="64" spans="4:4" x14ac:dyDescent="0.25">
      <c r="D64" s="3"/>
    </row>
    <row r="65" spans="4:4" x14ac:dyDescent="0.25">
      <c r="D65" s="3"/>
    </row>
    <row r="66" spans="4:4" x14ac:dyDescent="0.25">
      <c r="D66" s="3"/>
    </row>
    <row r="67" spans="4:4" x14ac:dyDescent="0.25">
      <c r="D67" s="3"/>
    </row>
    <row r="68" spans="4:4" x14ac:dyDescent="0.25">
      <c r="D68" s="3"/>
    </row>
    <row r="69" spans="4:4" x14ac:dyDescent="0.25">
      <c r="D69" s="3"/>
    </row>
    <row r="70" spans="4:4" x14ac:dyDescent="0.25">
      <c r="D70" s="3"/>
    </row>
    <row r="71" spans="4:4" x14ac:dyDescent="0.25">
      <c r="D71" s="3"/>
    </row>
    <row r="72" spans="4:4" x14ac:dyDescent="0.25">
      <c r="D72" s="3"/>
    </row>
    <row r="73" spans="4:4" x14ac:dyDescent="0.25">
      <c r="D73" s="3"/>
    </row>
    <row r="74" spans="4:4" x14ac:dyDescent="0.25">
      <c r="D74" s="3"/>
    </row>
    <row r="75" spans="4:4" x14ac:dyDescent="0.25">
      <c r="D75" s="3"/>
    </row>
    <row r="76" spans="4:4" x14ac:dyDescent="0.25">
      <c r="D76" s="3"/>
    </row>
    <row r="77" spans="4:4" x14ac:dyDescent="0.25">
      <c r="D77" s="3"/>
    </row>
    <row r="78" spans="4:4" x14ac:dyDescent="0.25">
      <c r="D78" s="3"/>
    </row>
    <row r="79" spans="4:4" x14ac:dyDescent="0.25">
      <c r="D79" s="3"/>
    </row>
    <row r="80" spans="4:4" x14ac:dyDescent="0.25">
      <c r="D80" s="3"/>
    </row>
    <row r="81" spans="4:4" x14ac:dyDescent="0.25">
      <c r="D81" s="3"/>
    </row>
    <row r="82" spans="4:4" x14ac:dyDescent="0.25">
      <c r="D82" s="3"/>
    </row>
    <row r="83" spans="4:4" x14ac:dyDescent="0.25">
      <c r="D83" s="3"/>
    </row>
    <row r="84" spans="4:4" x14ac:dyDescent="0.25">
      <c r="D84" s="3"/>
    </row>
    <row r="85" spans="4:4" x14ac:dyDescent="0.25">
      <c r="D85" s="3"/>
    </row>
    <row r="86" spans="4:4" x14ac:dyDescent="0.25">
      <c r="D86" s="3"/>
    </row>
    <row r="87" spans="4:4" x14ac:dyDescent="0.25">
      <c r="D87" s="3"/>
    </row>
    <row r="88" spans="4:4" x14ac:dyDescent="0.25">
      <c r="D88" s="3"/>
    </row>
    <row r="89" spans="4:4" x14ac:dyDescent="0.25">
      <c r="D89" s="3"/>
    </row>
    <row r="90" spans="4:4" x14ac:dyDescent="0.25">
      <c r="D90" s="3"/>
    </row>
    <row r="91" spans="4:4" x14ac:dyDescent="0.25">
      <c r="D91" s="3"/>
    </row>
    <row r="92" spans="4:4" x14ac:dyDescent="0.25">
      <c r="D92" s="3"/>
    </row>
    <row r="93" spans="4:4" x14ac:dyDescent="0.25">
      <c r="D93" s="3"/>
    </row>
    <row r="94" spans="4:4" x14ac:dyDescent="0.25">
      <c r="D94" s="3"/>
    </row>
    <row r="95" spans="4:4" x14ac:dyDescent="0.25">
      <c r="D95" s="3"/>
    </row>
    <row r="96" spans="4:4" x14ac:dyDescent="0.25">
      <c r="D96" s="3"/>
    </row>
    <row r="97" spans="4:4" x14ac:dyDescent="0.25">
      <c r="D97" s="3"/>
    </row>
    <row r="98" spans="4:4" x14ac:dyDescent="0.25">
      <c r="D98" s="3"/>
    </row>
    <row r="99" spans="4:4" x14ac:dyDescent="0.25">
      <c r="D99" s="3"/>
    </row>
    <row r="100" spans="4:4" x14ac:dyDescent="0.25">
      <c r="D100" s="3"/>
    </row>
    <row r="101" spans="4:4" x14ac:dyDescent="0.25">
      <c r="D101" s="3"/>
    </row>
    <row r="102" spans="4:4" x14ac:dyDescent="0.25">
      <c r="D102" s="3"/>
    </row>
    <row r="103" spans="4:4" x14ac:dyDescent="0.25">
      <c r="D103" s="3"/>
    </row>
    <row r="104" spans="4:4" x14ac:dyDescent="0.25">
      <c r="D104" s="3"/>
    </row>
    <row r="105" spans="4:4" x14ac:dyDescent="0.25">
      <c r="D105" s="3"/>
    </row>
    <row r="106" spans="4:4" x14ac:dyDescent="0.25">
      <c r="D106" s="3"/>
    </row>
    <row r="107" spans="4:4" x14ac:dyDescent="0.25">
      <c r="D107" s="3"/>
    </row>
    <row r="108" spans="4:4" x14ac:dyDescent="0.25">
      <c r="D108" s="3"/>
    </row>
    <row r="109" spans="4:4" x14ac:dyDescent="0.25">
      <c r="D109" s="3"/>
    </row>
    <row r="110" spans="4:4" x14ac:dyDescent="0.25">
      <c r="D110" s="3"/>
    </row>
    <row r="111" spans="4:4" x14ac:dyDescent="0.25">
      <c r="D111" s="3"/>
    </row>
    <row r="112" spans="4:4" x14ac:dyDescent="0.25">
      <c r="D112" s="3"/>
    </row>
    <row r="113" spans="4:4" x14ac:dyDescent="0.25">
      <c r="D113" s="3"/>
    </row>
    <row r="114" spans="4:4" x14ac:dyDescent="0.25">
      <c r="D114" s="3"/>
    </row>
    <row r="115" spans="4:4" x14ac:dyDescent="0.25">
      <c r="D115" s="3"/>
    </row>
    <row r="116" spans="4:4" x14ac:dyDescent="0.25">
      <c r="D116" s="3"/>
    </row>
    <row r="117" spans="4:4" x14ac:dyDescent="0.25">
      <c r="D117" s="3"/>
    </row>
    <row r="118" spans="4:4" x14ac:dyDescent="0.25">
      <c r="D118" s="3"/>
    </row>
    <row r="119" spans="4:4" x14ac:dyDescent="0.25">
      <c r="D119" s="3"/>
    </row>
    <row r="120" spans="4:4" x14ac:dyDescent="0.25">
      <c r="D120" s="3"/>
    </row>
    <row r="121" spans="4:4" x14ac:dyDescent="0.25">
      <c r="D121" s="3"/>
    </row>
    <row r="122" spans="4:4" x14ac:dyDescent="0.25">
      <c r="D122" s="3"/>
    </row>
    <row r="123" spans="4:4" x14ac:dyDescent="0.25">
      <c r="D123" s="3"/>
    </row>
    <row r="124" spans="4:4" x14ac:dyDescent="0.25">
      <c r="D124" s="3"/>
    </row>
    <row r="125" spans="4:4" x14ac:dyDescent="0.25">
      <c r="D125" s="3"/>
    </row>
    <row r="126" spans="4:4" x14ac:dyDescent="0.25">
      <c r="D126" s="3"/>
    </row>
    <row r="127" spans="4:4" x14ac:dyDescent="0.25">
      <c r="D127" s="3"/>
    </row>
    <row r="128" spans="4:4" x14ac:dyDescent="0.25">
      <c r="D128" s="3"/>
    </row>
    <row r="129" spans="4:4" x14ac:dyDescent="0.25">
      <c r="D129" s="3"/>
    </row>
    <row r="130" spans="4:4" x14ac:dyDescent="0.25">
      <c r="D130" s="3"/>
    </row>
    <row r="131" spans="4:4" x14ac:dyDescent="0.25">
      <c r="D131" s="3"/>
    </row>
    <row r="132" spans="4:4" x14ac:dyDescent="0.25">
      <c r="D132" s="3"/>
    </row>
    <row r="133" spans="4:4" x14ac:dyDescent="0.25">
      <c r="D133" s="3"/>
    </row>
    <row r="134" spans="4:4" x14ac:dyDescent="0.25">
      <c r="D134" s="3"/>
    </row>
    <row r="135" spans="4:4" x14ac:dyDescent="0.25">
      <c r="D135" s="3"/>
    </row>
    <row r="136" spans="4:4" x14ac:dyDescent="0.25">
      <c r="D136" s="3"/>
    </row>
    <row r="137" spans="4:4" x14ac:dyDescent="0.25">
      <c r="D137" s="3"/>
    </row>
    <row r="138" spans="4:4" x14ac:dyDescent="0.25">
      <c r="D138" s="3"/>
    </row>
    <row r="139" spans="4:4" x14ac:dyDescent="0.25">
      <c r="D139" s="3"/>
    </row>
    <row r="140" spans="4:4" x14ac:dyDescent="0.25">
      <c r="D140" s="3"/>
    </row>
    <row r="141" spans="4:4" x14ac:dyDescent="0.25">
      <c r="D141" s="3"/>
    </row>
    <row r="142" spans="4:4" x14ac:dyDescent="0.25">
      <c r="D142" s="3"/>
    </row>
    <row r="143" spans="4:4" x14ac:dyDescent="0.25">
      <c r="D143" s="3"/>
    </row>
    <row r="144" spans="4:4" x14ac:dyDescent="0.25">
      <c r="D144" s="3"/>
    </row>
    <row r="145" spans="4:4" x14ac:dyDescent="0.25">
      <c r="D145" s="3"/>
    </row>
    <row r="146" spans="4:4" x14ac:dyDescent="0.25">
      <c r="D146" s="3"/>
    </row>
    <row r="147" spans="4:4" x14ac:dyDescent="0.25">
      <c r="D147" s="3"/>
    </row>
    <row r="148" spans="4:4" x14ac:dyDescent="0.25">
      <c r="D148" s="3"/>
    </row>
    <row r="149" spans="4:4" x14ac:dyDescent="0.25">
      <c r="D149" s="3"/>
    </row>
    <row r="150" spans="4:4" x14ac:dyDescent="0.25">
      <c r="D150" s="3"/>
    </row>
    <row r="151" spans="4:4" x14ac:dyDescent="0.25">
      <c r="D151" s="3"/>
    </row>
    <row r="152" spans="4:4" x14ac:dyDescent="0.25">
      <c r="D152" s="3"/>
    </row>
    <row r="153" spans="4:4" x14ac:dyDescent="0.25">
      <c r="D153" s="3"/>
    </row>
    <row r="154" spans="4:4" x14ac:dyDescent="0.25">
      <c r="D154" s="3"/>
    </row>
    <row r="155" spans="4:4" x14ac:dyDescent="0.25">
      <c r="D155" s="3"/>
    </row>
    <row r="156" spans="4:4" x14ac:dyDescent="0.25">
      <c r="D156" s="3"/>
    </row>
    <row r="157" spans="4:4" x14ac:dyDescent="0.25">
      <c r="D157" s="3"/>
    </row>
    <row r="158" spans="4:4" x14ac:dyDescent="0.25">
      <c r="D158" s="3"/>
    </row>
    <row r="159" spans="4:4" x14ac:dyDescent="0.25">
      <c r="D159" s="3"/>
    </row>
    <row r="160" spans="4:4" x14ac:dyDescent="0.25">
      <c r="D160" s="3"/>
    </row>
    <row r="161" spans="4:4" x14ac:dyDescent="0.25">
      <c r="D161" s="3"/>
    </row>
    <row r="162" spans="4:4" x14ac:dyDescent="0.25">
      <c r="D162" s="3"/>
    </row>
    <row r="163" spans="4:4" x14ac:dyDescent="0.25">
      <c r="D163" s="3"/>
    </row>
    <row r="164" spans="4:4" x14ac:dyDescent="0.25">
      <c r="D164" s="3"/>
    </row>
    <row r="165" spans="4:4" x14ac:dyDescent="0.25">
      <c r="D165" s="3"/>
    </row>
    <row r="166" spans="4:4" x14ac:dyDescent="0.25">
      <c r="D166" s="3"/>
    </row>
    <row r="167" spans="4:4" x14ac:dyDescent="0.25">
      <c r="D167" s="3"/>
    </row>
    <row r="168" spans="4:4" x14ac:dyDescent="0.25">
      <c r="D168" s="3"/>
    </row>
    <row r="169" spans="4:4" x14ac:dyDescent="0.25">
      <c r="D169" s="3"/>
    </row>
    <row r="170" spans="4:4" x14ac:dyDescent="0.25">
      <c r="D170" s="3"/>
    </row>
    <row r="171" spans="4:4" x14ac:dyDescent="0.25">
      <c r="D171" s="3"/>
    </row>
    <row r="172" spans="4:4" x14ac:dyDescent="0.25">
      <c r="D172" s="3"/>
    </row>
    <row r="173" spans="4:4" x14ac:dyDescent="0.25">
      <c r="D173" s="3"/>
    </row>
    <row r="174" spans="4:4" x14ac:dyDescent="0.25">
      <c r="D174" s="3"/>
    </row>
    <row r="175" spans="4:4" x14ac:dyDescent="0.25">
      <c r="D175" s="3"/>
    </row>
    <row r="176" spans="4:4" x14ac:dyDescent="0.25">
      <c r="D176" s="3"/>
    </row>
    <row r="177" spans="4:4" x14ac:dyDescent="0.25">
      <c r="D177" s="3"/>
    </row>
    <row r="178" spans="4:4" x14ac:dyDescent="0.25">
      <c r="D178" s="3"/>
    </row>
    <row r="179" spans="4:4" x14ac:dyDescent="0.25">
      <c r="D179" s="3"/>
    </row>
    <row r="180" spans="4:4" x14ac:dyDescent="0.25">
      <c r="D180" s="3"/>
    </row>
    <row r="181" spans="4:4" x14ac:dyDescent="0.25">
      <c r="D181" s="3"/>
    </row>
    <row r="182" spans="4:4" x14ac:dyDescent="0.25">
      <c r="D182" s="3"/>
    </row>
    <row r="183" spans="4:4" x14ac:dyDescent="0.25">
      <c r="D183" s="3"/>
    </row>
    <row r="184" spans="4:4" x14ac:dyDescent="0.25">
      <c r="D184" s="3"/>
    </row>
    <row r="185" spans="4:4" x14ac:dyDescent="0.25">
      <c r="D185" s="3"/>
    </row>
    <row r="186" spans="4:4" x14ac:dyDescent="0.25">
      <c r="D186" s="3"/>
    </row>
    <row r="187" spans="4:4" x14ac:dyDescent="0.25">
      <c r="D187" s="3"/>
    </row>
    <row r="188" spans="4:4" x14ac:dyDescent="0.25">
      <c r="D188" s="3"/>
    </row>
    <row r="189" spans="4:4" x14ac:dyDescent="0.25">
      <c r="D189" s="3"/>
    </row>
    <row r="190" spans="4:4" x14ac:dyDescent="0.25">
      <c r="D190" s="3"/>
    </row>
    <row r="191" spans="4:4" x14ac:dyDescent="0.25">
      <c r="D191" s="3"/>
    </row>
    <row r="192" spans="4:4" x14ac:dyDescent="0.25">
      <c r="D192" s="3"/>
    </row>
    <row r="193" spans="4:4" x14ac:dyDescent="0.25">
      <c r="D193" s="3"/>
    </row>
    <row r="194" spans="4:4" x14ac:dyDescent="0.25">
      <c r="D194" s="3"/>
    </row>
    <row r="195" spans="4:4" x14ac:dyDescent="0.25">
      <c r="D195" s="3"/>
    </row>
    <row r="196" spans="4:4" x14ac:dyDescent="0.25">
      <c r="D196" s="3"/>
    </row>
    <row r="197" spans="4:4" x14ac:dyDescent="0.25">
      <c r="D197" s="3"/>
    </row>
    <row r="198" spans="4:4" x14ac:dyDescent="0.25">
      <c r="D198" s="3"/>
    </row>
    <row r="199" spans="4:4" x14ac:dyDescent="0.25">
      <c r="D199" s="3"/>
    </row>
    <row r="200" spans="4:4" x14ac:dyDescent="0.25">
      <c r="D200" s="3"/>
    </row>
    <row r="201" spans="4:4" x14ac:dyDescent="0.25">
      <c r="D201" s="3"/>
    </row>
    <row r="202" spans="4:4" x14ac:dyDescent="0.25">
      <c r="D202" s="3"/>
    </row>
    <row r="203" spans="4:4" x14ac:dyDescent="0.25">
      <c r="D203" s="3"/>
    </row>
    <row r="204" spans="4:4" x14ac:dyDescent="0.25">
      <c r="D204" s="3"/>
    </row>
    <row r="205" spans="4:4" x14ac:dyDescent="0.25">
      <c r="D205" s="3"/>
    </row>
    <row r="206" spans="4:4" x14ac:dyDescent="0.25">
      <c r="D206" s="3"/>
    </row>
    <row r="207" spans="4:4" x14ac:dyDescent="0.25">
      <c r="D207" s="3"/>
    </row>
    <row r="208" spans="4:4" x14ac:dyDescent="0.25">
      <c r="D208" s="3"/>
    </row>
    <row r="209" spans="4:4" x14ac:dyDescent="0.25">
      <c r="D209" s="3"/>
    </row>
    <row r="210" spans="4:4" x14ac:dyDescent="0.25">
      <c r="D210" s="3"/>
    </row>
    <row r="211" spans="4:4" x14ac:dyDescent="0.25">
      <c r="D211" s="3"/>
    </row>
    <row r="212" spans="4:4" x14ac:dyDescent="0.25">
      <c r="D212" s="3"/>
    </row>
    <row r="213" spans="4:4" x14ac:dyDescent="0.25">
      <c r="D213" s="3"/>
    </row>
    <row r="214" spans="4:4" x14ac:dyDescent="0.25">
      <c r="D214" s="3"/>
    </row>
    <row r="215" spans="4:4" x14ac:dyDescent="0.25">
      <c r="D215" s="3"/>
    </row>
    <row r="216" spans="4:4" x14ac:dyDescent="0.25">
      <c r="D216" s="3"/>
    </row>
    <row r="217" spans="4:4" x14ac:dyDescent="0.25">
      <c r="D217" s="3"/>
    </row>
    <row r="218" spans="4:4" x14ac:dyDescent="0.25">
      <c r="D218" s="3"/>
    </row>
    <row r="219" spans="4:4" x14ac:dyDescent="0.25">
      <c r="D219" s="3"/>
    </row>
    <row r="220" spans="4:4" x14ac:dyDescent="0.25">
      <c r="D220" s="3"/>
    </row>
    <row r="221" spans="4:4" x14ac:dyDescent="0.25">
      <c r="D221" s="3"/>
    </row>
    <row r="222" spans="4:4" x14ac:dyDescent="0.25">
      <c r="D222" s="3"/>
    </row>
    <row r="223" spans="4:4" x14ac:dyDescent="0.25">
      <c r="D223" s="3"/>
    </row>
    <row r="224" spans="4:4" x14ac:dyDescent="0.25">
      <c r="D224" s="3"/>
    </row>
    <row r="225" spans="4:4" x14ac:dyDescent="0.25">
      <c r="D225" s="3"/>
    </row>
    <row r="226" spans="4:4" x14ac:dyDescent="0.25">
      <c r="D226" s="3"/>
    </row>
    <row r="227" spans="4:4" x14ac:dyDescent="0.25">
      <c r="D227" s="3"/>
    </row>
    <row r="228" spans="4:4" x14ac:dyDescent="0.25">
      <c r="D228" s="3"/>
    </row>
    <row r="229" spans="4:4" x14ac:dyDescent="0.25">
      <c r="D229" s="3"/>
    </row>
    <row r="230" spans="4:4" x14ac:dyDescent="0.25">
      <c r="D230" s="3"/>
    </row>
    <row r="231" spans="4:4" x14ac:dyDescent="0.25">
      <c r="D231" s="3"/>
    </row>
    <row r="232" spans="4:4" x14ac:dyDescent="0.25">
      <c r="D232" s="3"/>
    </row>
    <row r="233" spans="4:4" x14ac:dyDescent="0.25">
      <c r="D233" s="3"/>
    </row>
    <row r="234" spans="4:4" x14ac:dyDescent="0.25">
      <c r="D234" s="3"/>
    </row>
    <row r="235" spans="4:4" x14ac:dyDescent="0.25">
      <c r="D235" s="3"/>
    </row>
    <row r="236" spans="4:4" x14ac:dyDescent="0.25">
      <c r="D236" s="3"/>
    </row>
    <row r="237" spans="4:4" x14ac:dyDescent="0.25">
      <c r="D237" s="3"/>
    </row>
    <row r="238" spans="4:4" x14ac:dyDescent="0.25">
      <c r="D238" s="3"/>
    </row>
    <row r="239" spans="4:4" x14ac:dyDescent="0.25">
      <c r="D239" s="3"/>
    </row>
    <row r="240" spans="4:4" x14ac:dyDescent="0.25">
      <c r="D240" s="3"/>
    </row>
    <row r="241" spans="4:4" x14ac:dyDescent="0.25">
      <c r="D241" s="3"/>
    </row>
    <row r="242" spans="4:4" x14ac:dyDescent="0.25">
      <c r="D242" s="3"/>
    </row>
    <row r="243" spans="4:4" x14ac:dyDescent="0.25">
      <c r="D243" s="3"/>
    </row>
    <row r="244" spans="4:4" x14ac:dyDescent="0.25">
      <c r="D244" s="3"/>
    </row>
    <row r="245" spans="4:4" x14ac:dyDescent="0.25">
      <c r="D245" s="3"/>
    </row>
    <row r="246" spans="4:4" x14ac:dyDescent="0.25">
      <c r="D246" s="3"/>
    </row>
    <row r="247" spans="4:4" x14ac:dyDescent="0.25">
      <c r="D247" s="3"/>
    </row>
    <row r="248" spans="4:4" x14ac:dyDescent="0.25">
      <c r="D248" s="3"/>
    </row>
    <row r="249" spans="4:4" x14ac:dyDescent="0.25">
      <c r="D249" s="3"/>
    </row>
    <row r="250" spans="4:4" x14ac:dyDescent="0.25">
      <c r="D250" s="3"/>
    </row>
    <row r="251" spans="4:4" x14ac:dyDescent="0.25">
      <c r="D251" s="3"/>
    </row>
    <row r="252" spans="4:4" x14ac:dyDescent="0.25">
      <c r="D252" s="3"/>
    </row>
    <row r="253" spans="4:4" x14ac:dyDescent="0.25">
      <c r="D253" s="3"/>
    </row>
    <row r="254" spans="4:4" x14ac:dyDescent="0.25">
      <c r="D254" s="3"/>
    </row>
    <row r="255" spans="4:4" x14ac:dyDescent="0.25">
      <c r="D255" s="3"/>
    </row>
    <row r="256" spans="4:4" x14ac:dyDescent="0.25">
      <c r="D256" s="3"/>
    </row>
    <row r="257" spans="4:4" x14ac:dyDescent="0.25">
      <c r="D257" s="3"/>
    </row>
    <row r="258" spans="4:4" x14ac:dyDescent="0.25">
      <c r="D258" s="3"/>
    </row>
    <row r="259" spans="4:4" x14ac:dyDescent="0.25">
      <c r="D259" s="3"/>
    </row>
    <row r="260" spans="4:4" x14ac:dyDescent="0.25">
      <c r="D260" s="3"/>
    </row>
    <row r="261" spans="4:4" x14ac:dyDescent="0.25">
      <c r="D261" s="3"/>
    </row>
    <row r="262" spans="4:4" x14ac:dyDescent="0.25">
      <c r="D262" s="3"/>
    </row>
    <row r="263" spans="4:4" x14ac:dyDescent="0.25">
      <c r="D263" s="3"/>
    </row>
    <row r="264" spans="4:4" x14ac:dyDescent="0.25">
      <c r="D264" s="3"/>
    </row>
    <row r="265" spans="4:4" x14ac:dyDescent="0.25">
      <c r="D265" s="3"/>
    </row>
    <row r="266" spans="4:4" x14ac:dyDescent="0.25">
      <c r="D266" s="3"/>
    </row>
    <row r="267" spans="4:4" x14ac:dyDescent="0.25">
      <c r="D267" s="3"/>
    </row>
    <row r="268" spans="4:4" x14ac:dyDescent="0.25">
      <c r="D268" s="3"/>
    </row>
    <row r="269" spans="4:4" x14ac:dyDescent="0.25">
      <c r="D269" s="3"/>
    </row>
    <row r="270" spans="4:4" x14ac:dyDescent="0.25">
      <c r="D270" s="3"/>
    </row>
    <row r="271" spans="4:4" x14ac:dyDescent="0.25">
      <c r="D271" s="3"/>
    </row>
    <row r="272" spans="4:4" x14ac:dyDescent="0.25">
      <c r="D272" s="3"/>
    </row>
    <row r="273" spans="4:4" x14ac:dyDescent="0.25">
      <c r="D273" s="3"/>
    </row>
    <row r="274" spans="4:4" x14ac:dyDescent="0.25">
      <c r="D274" s="3"/>
    </row>
    <row r="275" spans="4:4" x14ac:dyDescent="0.25">
      <c r="D275" s="3"/>
    </row>
    <row r="276" spans="4:4" x14ac:dyDescent="0.25">
      <c r="D276" s="3"/>
    </row>
    <row r="277" spans="4:4" x14ac:dyDescent="0.25">
      <c r="D277" s="3"/>
    </row>
    <row r="278" spans="4:4" x14ac:dyDescent="0.25">
      <c r="D278" s="3"/>
    </row>
    <row r="279" spans="4:4" x14ac:dyDescent="0.25">
      <c r="D279" s="3"/>
    </row>
    <row r="280" spans="4:4" x14ac:dyDescent="0.25">
      <c r="D280" s="3"/>
    </row>
    <row r="281" spans="4:4" x14ac:dyDescent="0.25">
      <c r="D281" s="3"/>
    </row>
    <row r="282" spans="4:4" x14ac:dyDescent="0.25">
      <c r="D282" s="3"/>
    </row>
    <row r="283" spans="4:4" x14ac:dyDescent="0.25">
      <c r="D283" s="3"/>
    </row>
    <row r="284" spans="4:4" x14ac:dyDescent="0.25">
      <c r="D284" s="3"/>
    </row>
    <row r="285" spans="4:4" x14ac:dyDescent="0.25">
      <c r="D285" s="3"/>
    </row>
    <row r="286" spans="4:4" x14ac:dyDescent="0.25">
      <c r="D286" s="3"/>
    </row>
    <row r="287" spans="4:4" x14ac:dyDescent="0.25">
      <c r="D287" s="3"/>
    </row>
    <row r="288" spans="4:4" x14ac:dyDescent="0.25">
      <c r="D288" s="3"/>
    </row>
    <row r="289" spans="4:4" x14ac:dyDescent="0.25">
      <c r="D289" s="3"/>
    </row>
    <row r="290" spans="4:4" x14ac:dyDescent="0.25">
      <c r="D290" s="3"/>
    </row>
    <row r="291" spans="4:4" x14ac:dyDescent="0.25">
      <c r="D291" s="3"/>
    </row>
    <row r="292" spans="4:4" x14ac:dyDescent="0.25">
      <c r="D292" s="3"/>
    </row>
    <row r="293" spans="4:4" x14ac:dyDescent="0.25">
      <c r="D293" s="3"/>
    </row>
    <row r="294" spans="4:4" x14ac:dyDescent="0.25">
      <c r="D294" s="3"/>
    </row>
    <row r="295" spans="4:4" x14ac:dyDescent="0.25">
      <c r="D295" s="3"/>
    </row>
    <row r="296" spans="4:4" x14ac:dyDescent="0.25">
      <c r="D296" s="3"/>
    </row>
    <row r="297" spans="4:4" x14ac:dyDescent="0.25">
      <c r="D297" s="3"/>
    </row>
    <row r="298" spans="4:4" x14ac:dyDescent="0.25">
      <c r="D298" s="3"/>
    </row>
    <row r="299" spans="4:4" x14ac:dyDescent="0.25">
      <c r="D299" s="3"/>
    </row>
    <row r="300" spans="4:4" x14ac:dyDescent="0.25">
      <c r="D300" s="3"/>
    </row>
    <row r="301" spans="4:4" x14ac:dyDescent="0.25">
      <c r="D301" s="3"/>
    </row>
    <row r="302" spans="4:4" x14ac:dyDescent="0.25">
      <c r="D302" s="3"/>
    </row>
    <row r="303" spans="4:4" x14ac:dyDescent="0.25">
      <c r="D303" s="3"/>
    </row>
    <row r="304" spans="4:4" x14ac:dyDescent="0.25">
      <c r="D304" s="3"/>
    </row>
    <row r="305" spans="4:4" x14ac:dyDescent="0.25">
      <c r="D305" s="3"/>
    </row>
    <row r="306" spans="4:4" x14ac:dyDescent="0.25">
      <c r="D306" s="3"/>
    </row>
    <row r="307" spans="4:4" x14ac:dyDescent="0.25">
      <c r="D307" s="3"/>
    </row>
    <row r="308" spans="4:4" x14ac:dyDescent="0.25">
      <c r="D308" s="3"/>
    </row>
    <row r="309" spans="4:4" x14ac:dyDescent="0.25">
      <c r="D309" s="3"/>
    </row>
    <row r="310" spans="4:4" x14ac:dyDescent="0.25">
      <c r="D310" s="3"/>
    </row>
    <row r="311" spans="4:4" x14ac:dyDescent="0.25">
      <c r="D311" s="3"/>
    </row>
    <row r="312" spans="4:4" x14ac:dyDescent="0.25">
      <c r="D312" s="3"/>
    </row>
    <row r="313" spans="4:4" x14ac:dyDescent="0.25">
      <c r="D313" s="3"/>
    </row>
    <row r="314" spans="4:4" x14ac:dyDescent="0.25">
      <c r="D314" s="3"/>
    </row>
    <row r="315" spans="4:4" x14ac:dyDescent="0.25">
      <c r="D315" s="3"/>
    </row>
    <row r="316" spans="4:4" x14ac:dyDescent="0.25">
      <c r="D316" s="3"/>
    </row>
    <row r="317" spans="4:4" x14ac:dyDescent="0.25">
      <c r="D317" s="3"/>
    </row>
    <row r="318" spans="4:4" x14ac:dyDescent="0.25">
      <c r="D318" s="3"/>
    </row>
    <row r="319" spans="4:4" x14ac:dyDescent="0.25">
      <c r="D319" s="3"/>
    </row>
    <row r="320" spans="4:4" x14ac:dyDescent="0.25">
      <c r="D320" s="3"/>
    </row>
    <row r="321" spans="4:4" x14ac:dyDescent="0.25">
      <c r="D321" s="3"/>
    </row>
    <row r="322" spans="4:4" x14ac:dyDescent="0.25">
      <c r="D322" s="3"/>
    </row>
    <row r="323" spans="4:4" x14ac:dyDescent="0.25">
      <c r="D323" s="3"/>
    </row>
    <row r="324" spans="4:4" x14ac:dyDescent="0.25">
      <c r="D324" s="3"/>
    </row>
    <row r="325" spans="4:4" x14ac:dyDescent="0.25">
      <c r="D325" s="3"/>
    </row>
    <row r="326" spans="4:4" x14ac:dyDescent="0.25">
      <c r="D326" s="3"/>
    </row>
    <row r="327" spans="4:4" x14ac:dyDescent="0.25">
      <c r="D327" s="3"/>
    </row>
    <row r="328" spans="4:4" x14ac:dyDescent="0.25">
      <c r="D328" s="3"/>
    </row>
    <row r="329" spans="4:4" x14ac:dyDescent="0.25">
      <c r="D329" s="3"/>
    </row>
    <row r="330" spans="4:4" x14ac:dyDescent="0.25">
      <c r="D330" s="3"/>
    </row>
    <row r="331" spans="4:4" x14ac:dyDescent="0.25">
      <c r="D331" s="3"/>
    </row>
    <row r="332" spans="4:4" x14ac:dyDescent="0.25">
      <c r="D332" s="3"/>
    </row>
    <row r="333" spans="4:4" x14ac:dyDescent="0.25">
      <c r="D333" s="3"/>
    </row>
    <row r="334" spans="4:4" x14ac:dyDescent="0.25">
      <c r="D334" s="3"/>
    </row>
    <row r="335" spans="4:4" x14ac:dyDescent="0.25">
      <c r="D335" s="3"/>
    </row>
    <row r="336" spans="4:4" x14ac:dyDescent="0.25">
      <c r="D336" s="3"/>
    </row>
    <row r="337" spans="4:4" x14ac:dyDescent="0.25">
      <c r="D337" s="3"/>
    </row>
    <row r="338" spans="4:4" x14ac:dyDescent="0.25">
      <c r="D338" s="3"/>
    </row>
    <row r="339" spans="4:4" x14ac:dyDescent="0.25">
      <c r="D339" s="3"/>
    </row>
    <row r="340" spans="4:4" x14ac:dyDescent="0.25">
      <c r="D340" s="3"/>
    </row>
    <row r="341" spans="4:4" x14ac:dyDescent="0.25">
      <c r="D341" s="3"/>
    </row>
    <row r="342" spans="4:4" x14ac:dyDescent="0.25">
      <c r="D342" s="3"/>
    </row>
    <row r="343" spans="4:4" x14ac:dyDescent="0.25">
      <c r="D343" s="3"/>
    </row>
    <row r="344" spans="4:4" x14ac:dyDescent="0.25">
      <c r="D344" s="3"/>
    </row>
    <row r="345" spans="4:4" x14ac:dyDescent="0.25">
      <c r="D345" s="3"/>
    </row>
    <row r="346" spans="4:4" x14ac:dyDescent="0.25">
      <c r="D346" s="3"/>
    </row>
    <row r="347" spans="4:4" x14ac:dyDescent="0.25">
      <c r="D347" s="3"/>
    </row>
    <row r="348" spans="4:4" x14ac:dyDescent="0.25">
      <c r="D348" s="3"/>
    </row>
    <row r="349" spans="4:4" x14ac:dyDescent="0.25">
      <c r="D349" s="3"/>
    </row>
    <row r="350" spans="4:4" x14ac:dyDescent="0.25">
      <c r="D350" s="3"/>
    </row>
    <row r="351" spans="4:4" x14ac:dyDescent="0.25">
      <c r="D351" s="3"/>
    </row>
    <row r="352" spans="4:4" x14ac:dyDescent="0.25">
      <c r="D352" s="3"/>
    </row>
    <row r="353" spans="4:4" x14ac:dyDescent="0.25">
      <c r="D353" s="3"/>
    </row>
    <row r="354" spans="4:4" x14ac:dyDescent="0.25">
      <c r="D354" s="3"/>
    </row>
    <row r="355" spans="4:4" x14ac:dyDescent="0.25">
      <c r="D355" s="3"/>
    </row>
    <row r="356" spans="4:4" x14ac:dyDescent="0.25">
      <c r="D356" s="3"/>
    </row>
    <row r="357" spans="4:4" x14ac:dyDescent="0.25">
      <c r="D357" s="3"/>
    </row>
    <row r="358" spans="4:4" x14ac:dyDescent="0.25">
      <c r="D358" s="3"/>
    </row>
    <row r="359" spans="4:4" x14ac:dyDescent="0.25">
      <c r="D359" s="3"/>
    </row>
    <row r="360" spans="4:4" x14ac:dyDescent="0.25">
      <c r="D360" s="3"/>
    </row>
    <row r="361" spans="4:4" x14ac:dyDescent="0.25">
      <c r="D361" s="3"/>
    </row>
    <row r="362" spans="4:4" x14ac:dyDescent="0.25">
      <c r="D362" s="3"/>
    </row>
    <row r="363" spans="4:4" x14ac:dyDescent="0.25">
      <c r="D363" s="3"/>
    </row>
    <row r="364" spans="4:4" x14ac:dyDescent="0.25">
      <c r="D364" s="3"/>
    </row>
    <row r="365" spans="4:4" x14ac:dyDescent="0.25">
      <c r="D365" s="3"/>
    </row>
    <row r="366" spans="4:4" x14ac:dyDescent="0.25">
      <c r="D366" s="3"/>
    </row>
    <row r="367" spans="4:4" x14ac:dyDescent="0.25">
      <c r="D367" s="3"/>
    </row>
    <row r="368" spans="4:4" x14ac:dyDescent="0.25">
      <c r="D368" s="3"/>
    </row>
    <row r="369" spans="4:4" x14ac:dyDescent="0.25">
      <c r="D369" s="3"/>
    </row>
    <row r="370" spans="4:4" x14ac:dyDescent="0.25">
      <c r="D370" s="3"/>
    </row>
    <row r="371" spans="4:4" x14ac:dyDescent="0.25">
      <c r="D371" s="3"/>
    </row>
    <row r="372" spans="4:4" x14ac:dyDescent="0.25">
      <c r="D372" s="3"/>
    </row>
    <row r="373" spans="4:4" x14ac:dyDescent="0.25">
      <c r="D373" s="3"/>
    </row>
    <row r="374" spans="4:4" x14ac:dyDescent="0.25">
      <c r="D374" s="3"/>
    </row>
    <row r="375" spans="4:4" x14ac:dyDescent="0.25">
      <c r="D375" s="3"/>
    </row>
    <row r="376" spans="4:4" x14ac:dyDescent="0.25">
      <c r="D376" s="3"/>
    </row>
    <row r="377" spans="4:4" x14ac:dyDescent="0.25">
      <c r="D377" s="3"/>
    </row>
    <row r="378" spans="4:4" x14ac:dyDescent="0.25">
      <c r="D378" s="3"/>
    </row>
    <row r="379" spans="4:4" x14ac:dyDescent="0.25">
      <c r="D379" s="3"/>
    </row>
    <row r="380" spans="4:4" x14ac:dyDescent="0.25">
      <c r="D380" s="3"/>
    </row>
    <row r="381" spans="4:4" x14ac:dyDescent="0.25">
      <c r="D381" s="3"/>
    </row>
    <row r="382" spans="4:4" x14ac:dyDescent="0.25">
      <c r="D382" s="3"/>
    </row>
    <row r="383" spans="4:4" x14ac:dyDescent="0.25">
      <c r="D383" s="3"/>
    </row>
    <row r="384" spans="4:4" x14ac:dyDescent="0.25">
      <c r="D384" s="3"/>
    </row>
    <row r="385" spans="4:4" x14ac:dyDescent="0.25">
      <c r="D385" s="3"/>
    </row>
    <row r="386" spans="4:4" x14ac:dyDescent="0.25">
      <c r="D386" s="3"/>
    </row>
    <row r="387" spans="4:4" x14ac:dyDescent="0.25">
      <c r="D387" s="3"/>
    </row>
    <row r="388" spans="4:4" x14ac:dyDescent="0.25">
      <c r="D388" s="3"/>
    </row>
    <row r="389" spans="4:4" x14ac:dyDescent="0.25">
      <c r="D389" s="3"/>
    </row>
    <row r="390" spans="4:4" x14ac:dyDescent="0.25">
      <c r="D390" s="3"/>
    </row>
    <row r="391" spans="4:4" x14ac:dyDescent="0.25">
      <c r="D391" s="3"/>
    </row>
    <row r="392" spans="4:4" x14ac:dyDescent="0.25">
      <c r="D392" s="3"/>
    </row>
    <row r="393" spans="4:4" x14ac:dyDescent="0.25">
      <c r="D393" s="3"/>
    </row>
    <row r="394" spans="4:4" x14ac:dyDescent="0.25">
      <c r="D394" s="3"/>
    </row>
    <row r="395" spans="4:4" x14ac:dyDescent="0.25">
      <c r="D395" s="3"/>
    </row>
    <row r="396" spans="4:4" x14ac:dyDescent="0.25">
      <c r="D396" s="3"/>
    </row>
    <row r="397" spans="4:4" x14ac:dyDescent="0.25">
      <c r="D397" s="3"/>
    </row>
    <row r="398" spans="4:4" x14ac:dyDescent="0.25">
      <c r="D398" s="3"/>
    </row>
    <row r="399" spans="4:4" x14ac:dyDescent="0.25">
      <c r="D399" s="3"/>
    </row>
    <row r="400" spans="4:4" x14ac:dyDescent="0.25">
      <c r="D400" s="3"/>
    </row>
    <row r="401" spans="4:4" x14ac:dyDescent="0.25">
      <c r="D401" s="3"/>
    </row>
    <row r="402" spans="4:4" x14ac:dyDescent="0.25">
      <c r="D402" s="3"/>
    </row>
    <row r="403" spans="4:4" x14ac:dyDescent="0.25">
      <c r="D403" s="3"/>
    </row>
    <row r="404" spans="4:4" x14ac:dyDescent="0.25">
      <c r="D404" s="3"/>
    </row>
    <row r="405" spans="4:4" x14ac:dyDescent="0.25">
      <c r="D405" s="3"/>
    </row>
    <row r="406" spans="4:4" x14ac:dyDescent="0.25">
      <c r="D406" s="3"/>
    </row>
    <row r="407" spans="4:4" x14ac:dyDescent="0.25">
      <c r="D407" s="3"/>
    </row>
    <row r="408" spans="4:4" x14ac:dyDescent="0.25">
      <c r="D408" s="3"/>
    </row>
    <row r="409" spans="4:4" x14ac:dyDescent="0.25">
      <c r="D409" s="3"/>
    </row>
    <row r="410" spans="4:4" x14ac:dyDescent="0.25">
      <c r="D410" s="3"/>
    </row>
    <row r="411" spans="4:4" x14ac:dyDescent="0.25">
      <c r="D411" s="3"/>
    </row>
    <row r="412" spans="4:4" x14ac:dyDescent="0.25">
      <c r="D412" s="3"/>
    </row>
    <row r="413" spans="4:4" x14ac:dyDescent="0.25">
      <c r="D413" s="3"/>
    </row>
    <row r="414" spans="4:4" x14ac:dyDescent="0.25">
      <c r="D414" s="3"/>
    </row>
    <row r="415" spans="4:4" x14ac:dyDescent="0.25">
      <c r="D415" s="3"/>
    </row>
    <row r="416" spans="4:4" x14ac:dyDescent="0.25">
      <c r="D416" s="3"/>
    </row>
    <row r="417" spans="4:4" x14ac:dyDescent="0.25">
      <c r="D417" s="3"/>
    </row>
    <row r="418" spans="4:4" x14ac:dyDescent="0.25">
      <c r="D418" s="3"/>
    </row>
    <row r="419" spans="4:4" x14ac:dyDescent="0.25">
      <c r="D419" s="3"/>
    </row>
    <row r="420" spans="4:4" x14ac:dyDescent="0.25">
      <c r="D420" s="3"/>
    </row>
    <row r="421" spans="4:4" x14ac:dyDescent="0.25">
      <c r="D421" s="3"/>
    </row>
    <row r="422" spans="4:4" x14ac:dyDescent="0.25">
      <c r="D422" s="3"/>
    </row>
    <row r="423" spans="4:4" x14ac:dyDescent="0.25">
      <c r="D423" s="3"/>
    </row>
    <row r="424" spans="4:4" x14ac:dyDescent="0.25">
      <c r="D424" s="3"/>
    </row>
    <row r="425" spans="4:4" x14ac:dyDescent="0.25">
      <c r="D425" s="3"/>
    </row>
    <row r="426" spans="4:4" x14ac:dyDescent="0.25">
      <c r="D426" s="3"/>
    </row>
    <row r="427" spans="4:4" x14ac:dyDescent="0.25">
      <c r="D427" s="3"/>
    </row>
    <row r="428" spans="4:4" x14ac:dyDescent="0.25">
      <c r="D428" s="3"/>
    </row>
    <row r="429" spans="4:4" x14ac:dyDescent="0.25">
      <c r="D429" s="3"/>
    </row>
    <row r="430" spans="4:4" x14ac:dyDescent="0.25">
      <c r="D430" s="3"/>
    </row>
    <row r="431" spans="4:4" x14ac:dyDescent="0.25">
      <c r="D431" s="3"/>
    </row>
    <row r="432" spans="4:4" x14ac:dyDescent="0.25">
      <c r="D432" s="3"/>
    </row>
    <row r="433" spans="4:4" x14ac:dyDescent="0.25">
      <c r="D433" s="3"/>
    </row>
    <row r="434" spans="4:4" x14ac:dyDescent="0.25">
      <c r="D434" s="3"/>
    </row>
    <row r="435" spans="4:4" x14ac:dyDescent="0.25">
      <c r="D435" s="3"/>
    </row>
    <row r="436" spans="4:4" x14ac:dyDescent="0.25">
      <c r="D436" s="3"/>
    </row>
    <row r="437" spans="4:4" x14ac:dyDescent="0.25">
      <c r="D437" s="3"/>
    </row>
    <row r="438" spans="4:4" x14ac:dyDescent="0.25">
      <c r="D438" s="3"/>
    </row>
    <row r="439" spans="4:4" x14ac:dyDescent="0.25">
      <c r="D439" s="3"/>
    </row>
    <row r="440" spans="4:4" x14ac:dyDescent="0.25">
      <c r="D440" s="3"/>
    </row>
    <row r="441" spans="4:4" x14ac:dyDescent="0.25">
      <c r="D441" s="3"/>
    </row>
    <row r="442" spans="4:4" x14ac:dyDescent="0.25">
      <c r="D442" s="3"/>
    </row>
    <row r="443" spans="4:4" x14ac:dyDescent="0.25">
      <c r="D443" s="3"/>
    </row>
    <row r="444" spans="4:4" x14ac:dyDescent="0.25">
      <c r="D444" s="3"/>
    </row>
    <row r="445" spans="4:4" x14ac:dyDescent="0.25">
      <c r="D445" s="3"/>
    </row>
    <row r="446" spans="4:4" x14ac:dyDescent="0.25">
      <c r="D446" s="3"/>
    </row>
    <row r="447" spans="4:4" x14ac:dyDescent="0.25">
      <c r="D447" s="3"/>
    </row>
    <row r="448" spans="4:4" x14ac:dyDescent="0.25">
      <c r="D448" s="3"/>
    </row>
    <row r="449" spans="4:4" x14ac:dyDescent="0.25">
      <c r="D449" s="3"/>
    </row>
    <row r="450" spans="4:4" x14ac:dyDescent="0.25">
      <c r="D450" s="3"/>
    </row>
    <row r="451" spans="4:4" x14ac:dyDescent="0.25">
      <c r="D451" s="3"/>
    </row>
    <row r="452" spans="4:4" x14ac:dyDescent="0.25">
      <c r="D452" s="3"/>
    </row>
    <row r="453" spans="4:4" x14ac:dyDescent="0.25">
      <c r="D453" s="3"/>
    </row>
    <row r="454" spans="4:4" x14ac:dyDescent="0.25">
      <c r="D454" s="3"/>
    </row>
    <row r="455" spans="4:4" x14ac:dyDescent="0.25">
      <c r="D455" s="3"/>
    </row>
    <row r="456" spans="4:4" x14ac:dyDescent="0.25">
      <c r="D456" s="3"/>
    </row>
    <row r="457" spans="4:4" x14ac:dyDescent="0.25">
      <c r="D457" s="3"/>
    </row>
    <row r="458" spans="4:4" x14ac:dyDescent="0.25">
      <c r="D458" s="3"/>
    </row>
    <row r="459" spans="4:4" x14ac:dyDescent="0.25">
      <c r="D459" s="3"/>
    </row>
    <row r="460" spans="4:4" x14ac:dyDescent="0.25">
      <c r="D460" s="3"/>
    </row>
    <row r="461" spans="4:4" x14ac:dyDescent="0.25">
      <c r="D461" s="3"/>
    </row>
    <row r="462" spans="4:4" x14ac:dyDescent="0.25">
      <c r="D462" s="3"/>
    </row>
    <row r="463" spans="4:4" x14ac:dyDescent="0.25">
      <c r="D463" s="3"/>
    </row>
    <row r="464" spans="4:4" x14ac:dyDescent="0.25">
      <c r="D464" s="3"/>
    </row>
    <row r="465" spans="4:4" x14ac:dyDescent="0.25">
      <c r="D465" s="3"/>
    </row>
    <row r="466" spans="4:4" x14ac:dyDescent="0.25">
      <c r="D466" s="3"/>
    </row>
    <row r="467" spans="4:4" x14ac:dyDescent="0.25">
      <c r="D467" s="3"/>
    </row>
    <row r="468" spans="4:4" x14ac:dyDescent="0.25">
      <c r="D468" s="3"/>
    </row>
    <row r="469" spans="4:4" x14ac:dyDescent="0.25">
      <c r="D469" s="3"/>
    </row>
    <row r="470" spans="4:4" x14ac:dyDescent="0.25">
      <c r="D470" s="3"/>
    </row>
    <row r="471" spans="4:4" x14ac:dyDescent="0.25">
      <c r="D471" s="3"/>
    </row>
    <row r="472" spans="4:4" x14ac:dyDescent="0.25">
      <c r="D472" s="3"/>
    </row>
    <row r="473" spans="4:4" x14ac:dyDescent="0.25">
      <c r="D473" s="3"/>
    </row>
    <row r="474" spans="4:4" x14ac:dyDescent="0.25">
      <c r="D474" s="3"/>
    </row>
    <row r="475" spans="4:4" x14ac:dyDescent="0.25">
      <c r="D475" s="3"/>
    </row>
    <row r="476" spans="4:4" x14ac:dyDescent="0.25">
      <c r="D476" s="3"/>
    </row>
    <row r="477" spans="4:4" x14ac:dyDescent="0.25">
      <c r="D477" s="3"/>
    </row>
    <row r="478" spans="4:4" x14ac:dyDescent="0.25">
      <c r="D478" s="3"/>
    </row>
    <row r="479" spans="4:4" x14ac:dyDescent="0.25">
      <c r="D479" s="3"/>
    </row>
    <row r="480" spans="4:4" x14ac:dyDescent="0.25">
      <c r="D480" s="3"/>
    </row>
    <row r="481" spans="4:4" x14ac:dyDescent="0.25">
      <c r="D481" s="3"/>
    </row>
    <row r="482" spans="4:4" x14ac:dyDescent="0.25">
      <c r="D482" s="3"/>
    </row>
    <row r="483" spans="4:4" x14ac:dyDescent="0.25">
      <c r="D483" s="3"/>
    </row>
    <row r="484" spans="4:4" x14ac:dyDescent="0.25">
      <c r="D484" s="3"/>
    </row>
    <row r="485" spans="4:4" x14ac:dyDescent="0.25">
      <c r="D485" s="3"/>
    </row>
    <row r="486" spans="4:4" x14ac:dyDescent="0.25">
      <c r="D486" s="3"/>
    </row>
    <row r="487" spans="4:4" x14ac:dyDescent="0.25">
      <c r="D487" s="3"/>
    </row>
    <row r="488" spans="4:4" x14ac:dyDescent="0.25">
      <c r="D488" s="3"/>
    </row>
    <row r="489" spans="4:4" x14ac:dyDescent="0.25">
      <c r="D489" s="3"/>
    </row>
    <row r="490" spans="4:4" x14ac:dyDescent="0.25">
      <c r="D490" s="3"/>
    </row>
    <row r="491" spans="4:4" x14ac:dyDescent="0.25">
      <c r="D491" s="3"/>
    </row>
    <row r="492" spans="4:4" x14ac:dyDescent="0.25">
      <c r="D492" s="3"/>
    </row>
    <row r="493" spans="4:4" x14ac:dyDescent="0.25">
      <c r="D493" s="3"/>
    </row>
    <row r="494" spans="4:4" x14ac:dyDescent="0.25">
      <c r="D494" s="3"/>
    </row>
    <row r="495" spans="4:4" x14ac:dyDescent="0.25">
      <c r="D495" s="3"/>
    </row>
    <row r="496" spans="4:4" x14ac:dyDescent="0.25">
      <c r="D496" s="3"/>
    </row>
    <row r="497" spans="4:4" x14ac:dyDescent="0.25">
      <c r="D497" s="3"/>
    </row>
    <row r="498" spans="4:4" x14ac:dyDescent="0.25">
      <c r="D498" s="3"/>
    </row>
    <row r="499" spans="4:4" x14ac:dyDescent="0.25">
      <c r="D499" s="3"/>
    </row>
    <row r="500" spans="4:4" x14ac:dyDescent="0.25">
      <c r="D500" s="3"/>
    </row>
    <row r="501" spans="4:4" x14ac:dyDescent="0.25">
      <c r="D501" s="3"/>
    </row>
    <row r="502" spans="4:4" x14ac:dyDescent="0.25">
      <c r="D502" s="3"/>
    </row>
    <row r="503" spans="4:4" x14ac:dyDescent="0.25">
      <c r="D503" s="3"/>
    </row>
    <row r="504" spans="4:4" x14ac:dyDescent="0.25">
      <c r="D504" s="3"/>
    </row>
    <row r="505" spans="4:4" x14ac:dyDescent="0.25">
      <c r="D505" s="3"/>
    </row>
    <row r="506" spans="4:4" x14ac:dyDescent="0.25">
      <c r="D506" s="3"/>
    </row>
    <row r="507" spans="4:4" x14ac:dyDescent="0.25">
      <c r="D507" s="3"/>
    </row>
    <row r="508" spans="4:4" x14ac:dyDescent="0.25">
      <c r="D508" s="3"/>
    </row>
    <row r="509" spans="4:4" x14ac:dyDescent="0.25">
      <c r="D509" s="3"/>
    </row>
    <row r="510" spans="4:4" x14ac:dyDescent="0.25">
      <c r="D510" s="3"/>
    </row>
    <row r="511" spans="4:4" x14ac:dyDescent="0.25">
      <c r="D511" s="3"/>
    </row>
    <row r="512" spans="4:4" x14ac:dyDescent="0.25">
      <c r="D512" s="3"/>
    </row>
    <row r="513" spans="4:4" x14ac:dyDescent="0.25">
      <c r="D513" s="3"/>
    </row>
    <row r="514" spans="4:4" x14ac:dyDescent="0.25">
      <c r="D514" s="3"/>
    </row>
    <row r="515" spans="4:4" x14ac:dyDescent="0.25">
      <c r="D515" s="3"/>
    </row>
    <row r="516" spans="4:4" x14ac:dyDescent="0.25">
      <c r="D516" s="3"/>
    </row>
    <row r="517" spans="4:4" x14ac:dyDescent="0.25">
      <c r="D517" s="3"/>
    </row>
    <row r="518" spans="4:4" x14ac:dyDescent="0.25">
      <c r="D518" s="3"/>
    </row>
    <row r="519" spans="4:4" x14ac:dyDescent="0.25">
      <c r="D519" s="3"/>
    </row>
    <row r="520" spans="4:4" x14ac:dyDescent="0.25">
      <c r="D520" s="3"/>
    </row>
    <row r="521" spans="4:4" x14ac:dyDescent="0.25">
      <c r="D521" s="3"/>
    </row>
    <row r="522" spans="4:4" x14ac:dyDescent="0.25">
      <c r="D522" s="3"/>
    </row>
    <row r="523" spans="4:4" x14ac:dyDescent="0.25">
      <c r="D523" s="3"/>
    </row>
    <row r="524" spans="4:4" x14ac:dyDescent="0.25">
      <c r="D524" s="3"/>
    </row>
    <row r="525" spans="4:4" x14ac:dyDescent="0.25">
      <c r="D525" s="3"/>
    </row>
    <row r="526" spans="4:4" x14ac:dyDescent="0.25">
      <c r="D526" s="3"/>
    </row>
    <row r="527" spans="4:4" x14ac:dyDescent="0.25">
      <c r="D527" s="3"/>
    </row>
    <row r="528" spans="4:4" x14ac:dyDescent="0.25">
      <c r="D528" s="3"/>
    </row>
    <row r="529" spans="4:4" x14ac:dyDescent="0.25">
      <c r="D529" s="3"/>
    </row>
    <row r="530" spans="4:4" x14ac:dyDescent="0.25">
      <c r="D530" s="3"/>
    </row>
    <row r="531" spans="4:4" x14ac:dyDescent="0.25">
      <c r="D531" s="3"/>
    </row>
    <row r="532" spans="4:4" x14ac:dyDescent="0.25">
      <c r="D532" s="3"/>
    </row>
    <row r="533" spans="4:4" x14ac:dyDescent="0.25">
      <c r="D533" s="3"/>
    </row>
    <row r="534" spans="4:4" x14ac:dyDescent="0.25">
      <c r="D534" s="3"/>
    </row>
    <row r="535" spans="4:4" x14ac:dyDescent="0.25">
      <c r="D535" s="3"/>
    </row>
    <row r="536" spans="4:4" x14ac:dyDescent="0.25">
      <c r="D536" s="3"/>
    </row>
    <row r="537" spans="4:4" x14ac:dyDescent="0.25">
      <c r="D537" s="3"/>
    </row>
    <row r="538" spans="4:4" x14ac:dyDescent="0.25">
      <c r="D538" s="3"/>
    </row>
    <row r="539" spans="4:4" x14ac:dyDescent="0.25">
      <c r="D539" s="3"/>
    </row>
    <row r="540" spans="4:4" x14ac:dyDescent="0.25">
      <c r="D540" s="3"/>
    </row>
    <row r="541" spans="4:4" x14ac:dyDescent="0.25">
      <c r="D541" s="3"/>
    </row>
    <row r="542" spans="4:4" x14ac:dyDescent="0.25">
      <c r="D542" s="3"/>
    </row>
    <row r="543" spans="4:4" x14ac:dyDescent="0.25">
      <c r="D543" s="3"/>
    </row>
    <row r="544" spans="4:4" x14ac:dyDescent="0.25">
      <c r="D544" s="3"/>
    </row>
    <row r="545" spans="4:4" x14ac:dyDescent="0.25">
      <c r="D545" s="3"/>
    </row>
    <row r="546" spans="4:4" x14ac:dyDescent="0.25">
      <c r="D546" s="3"/>
    </row>
    <row r="547" spans="4:4" x14ac:dyDescent="0.25">
      <c r="D547" s="3"/>
    </row>
    <row r="548" spans="4:4" x14ac:dyDescent="0.25">
      <c r="D548" s="3"/>
    </row>
    <row r="549" spans="4:4" x14ac:dyDescent="0.25">
      <c r="D549" s="3"/>
    </row>
    <row r="550" spans="4:4" x14ac:dyDescent="0.25">
      <c r="D550" s="3"/>
    </row>
    <row r="551" spans="4:4" x14ac:dyDescent="0.25">
      <c r="D551" s="3"/>
    </row>
    <row r="552" spans="4:4" x14ac:dyDescent="0.25">
      <c r="D552" s="3"/>
    </row>
    <row r="553" spans="4:4" x14ac:dyDescent="0.25">
      <c r="D553" s="3"/>
    </row>
    <row r="554" spans="4:4" x14ac:dyDescent="0.25">
      <c r="D554" s="3"/>
    </row>
    <row r="555" spans="4:4" x14ac:dyDescent="0.25">
      <c r="D555" s="3"/>
    </row>
    <row r="556" spans="4:4" x14ac:dyDescent="0.25">
      <c r="D556" s="3"/>
    </row>
    <row r="557" spans="4:4" x14ac:dyDescent="0.25">
      <c r="D557" s="3"/>
    </row>
    <row r="558" spans="4:4" x14ac:dyDescent="0.25">
      <c r="D558" s="3"/>
    </row>
    <row r="559" spans="4:4" x14ac:dyDescent="0.25">
      <c r="D559" s="3"/>
    </row>
    <row r="560" spans="4:4" x14ac:dyDescent="0.25">
      <c r="D560" s="3"/>
    </row>
    <row r="561" spans="4:4" x14ac:dyDescent="0.25">
      <c r="D561" s="3"/>
    </row>
    <row r="562" spans="4:4" x14ac:dyDescent="0.25">
      <c r="D562" s="3"/>
    </row>
    <row r="563" spans="4:4" x14ac:dyDescent="0.25">
      <c r="D563" s="3"/>
    </row>
    <row r="564" spans="4:4" x14ac:dyDescent="0.25">
      <c r="D564" s="3"/>
    </row>
    <row r="565" spans="4:4" x14ac:dyDescent="0.25">
      <c r="D565" s="3"/>
    </row>
    <row r="566" spans="4:4" x14ac:dyDescent="0.25">
      <c r="D566" s="3"/>
    </row>
    <row r="567" spans="4:4" x14ac:dyDescent="0.25">
      <c r="D567" s="3"/>
    </row>
    <row r="568" spans="4:4" x14ac:dyDescent="0.25">
      <c r="D568" s="3"/>
    </row>
    <row r="569" spans="4:4" x14ac:dyDescent="0.25">
      <c r="D569" s="3"/>
    </row>
    <row r="570" spans="4:4" x14ac:dyDescent="0.25">
      <c r="D570" s="3"/>
    </row>
    <row r="571" spans="4:4" x14ac:dyDescent="0.25">
      <c r="D571" s="3"/>
    </row>
    <row r="572" spans="4:4" x14ac:dyDescent="0.25">
      <c r="D572" s="3"/>
    </row>
    <row r="573" spans="4:4" x14ac:dyDescent="0.25">
      <c r="D573" s="3"/>
    </row>
    <row r="574" spans="4:4" x14ac:dyDescent="0.25">
      <c r="D574" s="3"/>
    </row>
    <row r="575" spans="4:4" x14ac:dyDescent="0.25">
      <c r="D575" s="3"/>
    </row>
    <row r="576" spans="4:4" x14ac:dyDescent="0.25">
      <c r="D576" s="3"/>
    </row>
    <row r="577" spans="4:4" x14ac:dyDescent="0.25">
      <c r="D577" s="3"/>
    </row>
    <row r="578" spans="4:4" x14ac:dyDescent="0.25">
      <c r="D578" s="3"/>
    </row>
    <row r="579" spans="4:4" x14ac:dyDescent="0.25">
      <c r="D579" s="3"/>
    </row>
    <row r="580" spans="4:4" x14ac:dyDescent="0.25">
      <c r="D580" s="3"/>
    </row>
    <row r="581" spans="4:4" x14ac:dyDescent="0.25">
      <c r="D581" s="3"/>
    </row>
    <row r="582" spans="4:4" x14ac:dyDescent="0.25">
      <c r="D582" s="3"/>
    </row>
    <row r="583" spans="4:4" x14ac:dyDescent="0.25">
      <c r="D583" s="3"/>
    </row>
    <row r="584" spans="4:4" x14ac:dyDescent="0.25">
      <c r="D584" s="3"/>
    </row>
    <row r="585" spans="4:4" x14ac:dyDescent="0.25">
      <c r="D585" s="3"/>
    </row>
    <row r="586" spans="4:4" x14ac:dyDescent="0.25">
      <c r="D586" s="3"/>
    </row>
    <row r="587" spans="4:4" x14ac:dyDescent="0.25">
      <c r="D587" s="3"/>
    </row>
    <row r="588" spans="4:4" x14ac:dyDescent="0.25">
      <c r="D588" s="3"/>
    </row>
    <row r="589" spans="4:4" x14ac:dyDescent="0.25">
      <c r="D589" s="3"/>
    </row>
    <row r="590" spans="4:4" x14ac:dyDescent="0.25">
      <c r="D590" s="3"/>
    </row>
    <row r="591" spans="4:4" x14ac:dyDescent="0.25">
      <c r="D591" s="3"/>
    </row>
    <row r="592" spans="4:4" x14ac:dyDescent="0.25">
      <c r="D592" s="3"/>
    </row>
    <row r="593" spans="4:4" x14ac:dyDescent="0.25">
      <c r="D593" s="3"/>
    </row>
    <row r="594" spans="4:4" x14ac:dyDescent="0.25">
      <c r="D594" s="3"/>
    </row>
    <row r="595" spans="4:4" x14ac:dyDescent="0.25">
      <c r="D595" s="3"/>
    </row>
    <row r="596" spans="4:4" x14ac:dyDescent="0.25">
      <c r="D596" s="3"/>
    </row>
    <row r="597" spans="4:4" x14ac:dyDescent="0.25">
      <c r="D597" s="3"/>
    </row>
    <row r="598" spans="4:4" x14ac:dyDescent="0.25">
      <c r="D598" s="3"/>
    </row>
    <row r="599" spans="4:4" x14ac:dyDescent="0.25">
      <c r="D599" s="3"/>
    </row>
    <row r="600" spans="4:4" x14ac:dyDescent="0.25">
      <c r="D600" s="3"/>
    </row>
    <row r="601" spans="4:4" x14ac:dyDescent="0.25">
      <c r="D601" s="3"/>
    </row>
    <row r="602" spans="4:4" x14ac:dyDescent="0.25">
      <c r="D602" s="3"/>
    </row>
    <row r="603" spans="4:4" x14ac:dyDescent="0.25">
      <c r="D603" s="3"/>
    </row>
    <row r="604" spans="4:4" x14ac:dyDescent="0.25">
      <c r="D604" s="3"/>
    </row>
    <row r="605" spans="4:4" x14ac:dyDescent="0.25">
      <c r="D605" s="3"/>
    </row>
    <row r="606" spans="4:4" x14ac:dyDescent="0.25">
      <c r="D606" s="3"/>
    </row>
    <row r="607" spans="4:4" x14ac:dyDescent="0.25">
      <c r="D607" s="3"/>
    </row>
    <row r="608" spans="4:4" x14ac:dyDescent="0.25">
      <c r="D608" s="3"/>
    </row>
    <row r="609" spans="4:4" x14ac:dyDescent="0.25">
      <c r="D609" s="3"/>
    </row>
    <row r="610" spans="4:4" x14ac:dyDescent="0.25">
      <c r="D610" s="3"/>
    </row>
    <row r="611" spans="4:4" x14ac:dyDescent="0.25">
      <c r="D611" s="3"/>
    </row>
    <row r="612" spans="4:4" x14ac:dyDescent="0.25">
      <c r="D612" s="3"/>
    </row>
    <row r="613" spans="4:4" x14ac:dyDescent="0.25">
      <c r="D613" s="3"/>
    </row>
    <row r="614" spans="4:4" x14ac:dyDescent="0.25">
      <c r="D614" s="3"/>
    </row>
    <row r="615" spans="4:4" x14ac:dyDescent="0.25">
      <c r="D615" s="3"/>
    </row>
    <row r="616" spans="4:4" x14ac:dyDescent="0.25">
      <c r="D616" s="3"/>
    </row>
    <row r="617" spans="4:4" x14ac:dyDescent="0.25">
      <c r="D617" s="3"/>
    </row>
    <row r="618" spans="4:4" x14ac:dyDescent="0.25">
      <c r="D618" s="3"/>
    </row>
    <row r="619" spans="4:4" x14ac:dyDescent="0.25">
      <c r="D619" s="3"/>
    </row>
    <row r="620" spans="4:4" x14ac:dyDescent="0.25">
      <c r="D620" s="3"/>
    </row>
    <row r="621" spans="4:4" x14ac:dyDescent="0.25">
      <c r="D621" s="3"/>
    </row>
    <row r="622" spans="4:4" x14ac:dyDescent="0.25">
      <c r="D622" s="3"/>
    </row>
    <row r="623" spans="4:4" x14ac:dyDescent="0.25">
      <c r="D623" s="3"/>
    </row>
    <row r="624" spans="4:4" x14ac:dyDescent="0.25">
      <c r="D624" s="3"/>
    </row>
    <row r="625" spans="4:4" x14ac:dyDescent="0.25">
      <c r="D625" s="3"/>
    </row>
    <row r="626" spans="4:4" x14ac:dyDescent="0.25">
      <c r="D626" s="3"/>
    </row>
    <row r="627" spans="4:4" x14ac:dyDescent="0.25">
      <c r="D627" s="3"/>
    </row>
    <row r="628" spans="4:4" x14ac:dyDescent="0.25">
      <c r="D628" s="3"/>
    </row>
    <row r="629" spans="4:4" x14ac:dyDescent="0.25">
      <c r="D629" s="3"/>
    </row>
    <row r="630" spans="4:4" x14ac:dyDescent="0.25">
      <c r="D630" s="3"/>
    </row>
    <row r="631" spans="4:4" x14ac:dyDescent="0.25">
      <c r="D631" s="3"/>
    </row>
    <row r="632" spans="4:4" x14ac:dyDescent="0.25">
      <c r="D632" s="3"/>
    </row>
    <row r="633" spans="4:4" x14ac:dyDescent="0.25">
      <c r="D633" s="3"/>
    </row>
    <row r="634" spans="4:4" x14ac:dyDescent="0.25">
      <c r="D634" s="3"/>
    </row>
    <row r="635" spans="4:4" x14ac:dyDescent="0.25">
      <c r="D635" s="3"/>
    </row>
    <row r="636" spans="4:4" x14ac:dyDescent="0.25">
      <c r="D636" s="3"/>
    </row>
    <row r="637" spans="4:4" x14ac:dyDescent="0.25">
      <c r="D637" s="3"/>
    </row>
    <row r="638" spans="4:4" x14ac:dyDescent="0.25">
      <c r="D638" s="3"/>
    </row>
    <row r="639" spans="4:4" x14ac:dyDescent="0.25">
      <c r="D639" s="3"/>
    </row>
    <row r="640" spans="4:4" x14ac:dyDescent="0.25">
      <c r="D640" s="3"/>
    </row>
    <row r="641" spans="4:4" x14ac:dyDescent="0.25">
      <c r="D641" s="3"/>
    </row>
    <row r="642" spans="4:4" x14ac:dyDescent="0.25">
      <c r="D642" s="3"/>
    </row>
    <row r="643" spans="4:4" x14ac:dyDescent="0.25">
      <c r="D643" s="3"/>
    </row>
    <row r="644" spans="4:4" x14ac:dyDescent="0.25">
      <c r="D644" s="3"/>
    </row>
    <row r="645" spans="4:4" x14ac:dyDescent="0.25">
      <c r="D645" s="3"/>
    </row>
    <row r="646" spans="4:4" x14ac:dyDescent="0.25">
      <c r="D646" s="3"/>
    </row>
    <row r="647" spans="4:4" x14ac:dyDescent="0.25">
      <c r="D647" s="3"/>
    </row>
    <row r="648" spans="4:4" x14ac:dyDescent="0.25">
      <c r="D648" s="3"/>
    </row>
    <row r="649" spans="4:4" x14ac:dyDescent="0.25">
      <c r="D649" s="3"/>
    </row>
    <row r="650" spans="4:4" x14ac:dyDescent="0.25">
      <c r="D650" s="3"/>
    </row>
    <row r="651" spans="4:4" x14ac:dyDescent="0.25">
      <c r="D651" s="3"/>
    </row>
    <row r="652" spans="4:4" x14ac:dyDescent="0.25">
      <c r="D652" s="3"/>
    </row>
    <row r="653" spans="4:4" x14ac:dyDescent="0.25">
      <c r="D653" s="3"/>
    </row>
    <row r="654" spans="4:4" x14ac:dyDescent="0.25">
      <c r="D654" s="3"/>
    </row>
    <row r="655" spans="4:4" x14ac:dyDescent="0.25">
      <c r="D655" s="3"/>
    </row>
    <row r="656" spans="4:4" x14ac:dyDescent="0.25">
      <c r="D656" s="3"/>
    </row>
    <row r="657" spans="4:4" x14ac:dyDescent="0.25">
      <c r="D657" s="3"/>
    </row>
    <row r="658" spans="4:4" x14ac:dyDescent="0.25">
      <c r="D658" s="3"/>
    </row>
    <row r="659" spans="4:4" x14ac:dyDescent="0.25">
      <c r="D659" s="3"/>
    </row>
    <row r="660" spans="4:4" x14ac:dyDescent="0.25">
      <c r="D660" s="3"/>
    </row>
    <row r="661" spans="4:4" x14ac:dyDescent="0.25">
      <c r="D661" s="3"/>
    </row>
    <row r="662" spans="4:4" x14ac:dyDescent="0.25">
      <c r="D662" s="3"/>
    </row>
    <row r="663" spans="4:4" x14ac:dyDescent="0.25">
      <c r="D663" s="3"/>
    </row>
    <row r="664" spans="4:4" x14ac:dyDescent="0.25">
      <c r="D664" s="3"/>
    </row>
    <row r="665" spans="4:4" x14ac:dyDescent="0.25">
      <c r="D665" s="3"/>
    </row>
    <row r="666" spans="4:4" x14ac:dyDescent="0.25">
      <c r="D666" s="3"/>
    </row>
    <row r="667" spans="4:4" x14ac:dyDescent="0.25">
      <c r="D667" s="3"/>
    </row>
    <row r="668" spans="4:4" x14ac:dyDescent="0.25">
      <c r="D668" s="3"/>
    </row>
    <row r="669" spans="4:4" x14ac:dyDescent="0.25">
      <c r="D669" s="3"/>
    </row>
    <row r="670" spans="4:4" x14ac:dyDescent="0.25">
      <c r="D670" s="3"/>
    </row>
    <row r="671" spans="4:4" x14ac:dyDescent="0.25">
      <c r="D671" s="3"/>
    </row>
    <row r="672" spans="4:4" x14ac:dyDescent="0.25">
      <c r="D672" s="3"/>
    </row>
    <row r="673" spans="4:4" x14ac:dyDescent="0.25">
      <c r="D673" s="3"/>
    </row>
    <row r="674" spans="4:4" x14ac:dyDescent="0.25">
      <c r="D674" s="3"/>
    </row>
    <row r="675" spans="4:4" x14ac:dyDescent="0.25">
      <c r="D675" s="3"/>
    </row>
    <row r="676" spans="4:4" x14ac:dyDescent="0.25">
      <c r="D676" s="3"/>
    </row>
    <row r="677" spans="4:4" x14ac:dyDescent="0.25">
      <c r="D677" s="3"/>
    </row>
    <row r="678" spans="4:4" x14ac:dyDescent="0.25">
      <c r="D678" s="3"/>
    </row>
    <row r="679" spans="4:4" x14ac:dyDescent="0.25">
      <c r="D679" s="3"/>
    </row>
    <row r="680" spans="4:4" x14ac:dyDescent="0.25">
      <c r="D680" s="3"/>
    </row>
    <row r="681" spans="4:4" x14ac:dyDescent="0.25">
      <c r="D681" s="3"/>
    </row>
    <row r="682" spans="4:4" x14ac:dyDescent="0.25">
      <c r="D682" s="3"/>
    </row>
    <row r="683" spans="4:4" x14ac:dyDescent="0.25">
      <c r="D683" s="3"/>
    </row>
    <row r="684" spans="4:4" x14ac:dyDescent="0.25">
      <c r="D684" s="3"/>
    </row>
    <row r="685" spans="4:4" x14ac:dyDescent="0.25">
      <c r="D685" s="3"/>
    </row>
    <row r="686" spans="4:4" x14ac:dyDescent="0.25">
      <c r="D686" s="3"/>
    </row>
    <row r="687" spans="4:4" x14ac:dyDescent="0.25">
      <c r="D687" s="3"/>
    </row>
    <row r="688" spans="4:4" x14ac:dyDescent="0.25">
      <c r="D688" s="3"/>
    </row>
    <row r="689" spans="4:4" x14ac:dyDescent="0.25">
      <c r="D689" s="3"/>
    </row>
    <row r="690" spans="4:4" x14ac:dyDescent="0.25">
      <c r="D690" s="3"/>
    </row>
    <row r="691" spans="4:4" x14ac:dyDescent="0.25">
      <c r="D691" s="3"/>
    </row>
    <row r="692" spans="4:4" x14ac:dyDescent="0.25">
      <c r="D692" s="3"/>
    </row>
    <row r="693" spans="4:4" x14ac:dyDescent="0.25">
      <c r="D693" s="3"/>
    </row>
    <row r="694" spans="4:4" x14ac:dyDescent="0.25">
      <c r="D694" s="3"/>
    </row>
    <row r="695" spans="4:4" x14ac:dyDescent="0.25">
      <c r="D695" s="3"/>
    </row>
    <row r="696" spans="4:4" x14ac:dyDescent="0.25">
      <c r="D696" s="3"/>
    </row>
    <row r="697" spans="4:4" x14ac:dyDescent="0.25">
      <c r="D697" s="3"/>
    </row>
    <row r="698" spans="4:4" x14ac:dyDescent="0.25">
      <c r="D698" s="3"/>
    </row>
    <row r="699" spans="4:4" x14ac:dyDescent="0.25">
      <c r="D699" s="3"/>
    </row>
    <row r="700" spans="4:4" x14ac:dyDescent="0.25">
      <c r="D700" s="3"/>
    </row>
    <row r="701" spans="4:4" x14ac:dyDescent="0.25">
      <c r="D701" s="3"/>
    </row>
    <row r="702" spans="4:4" x14ac:dyDescent="0.25">
      <c r="D702" s="3"/>
    </row>
    <row r="703" spans="4:4" x14ac:dyDescent="0.25">
      <c r="D703" s="3"/>
    </row>
    <row r="704" spans="4:4" x14ac:dyDescent="0.25">
      <c r="D704" s="3"/>
    </row>
    <row r="705" spans="4:4" x14ac:dyDescent="0.25">
      <c r="D705" s="3"/>
    </row>
    <row r="706" spans="4:4" x14ac:dyDescent="0.25">
      <c r="D706" s="3"/>
    </row>
    <row r="707" spans="4:4" x14ac:dyDescent="0.25">
      <c r="D707" s="3"/>
    </row>
    <row r="708" spans="4:4" x14ac:dyDescent="0.25">
      <c r="D708" s="3"/>
    </row>
    <row r="709" spans="4:4" x14ac:dyDescent="0.25">
      <c r="D709" s="3"/>
    </row>
    <row r="710" spans="4:4" x14ac:dyDescent="0.25">
      <c r="D710" s="3"/>
    </row>
    <row r="711" spans="4:4" x14ac:dyDescent="0.25">
      <c r="D711" s="3"/>
    </row>
    <row r="712" spans="4:4" x14ac:dyDescent="0.25">
      <c r="D712" s="3"/>
    </row>
    <row r="713" spans="4:4" x14ac:dyDescent="0.25">
      <c r="D713" s="3"/>
    </row>
    <row r="714" spans="4:4" x14ac:dyDescent="0.25">
      <c r="D714" s="3"/>
    </row>
    <row r="715" spans="4:4" x14ac:dyDescent="0.25">
      <c r="D715" s="3"/>
    </row>
    <row r="716" spans="4:4" x14ac:dyDescent="0.25">
      <c r="D716" s="3"/>
    </row>
    <row r="717" spans="4:4" x14ac:dyDescent="0.25">
      <c r="D717" s="3"/>
    </row>
    <row r="718" spans="4:4" x14ac:dyDescent="0.25">
      <c r="D718" s="3"/>
    </row>
    <row r="719" spans="4:4" x14ac:dyDescent="0.25">
      <c r="D719" s="3"/>
    </row>
    <row r="720" spans="4:4" x14ac:dyDescent="0.25">
      <c r="D720" s="3"/>
    </row>
    <row r="721" spans="4:4" x14ac:dyDescent="0.25">
      <c r="D721" s="3"/>
    </row>
    <row r="722" spans="4:4" x14ac:dyDescent="0.25">
      <c r="D722" s="3"/>
    </row>
    <row r="723" spans="4:4" x14ac:dyDescent="0.25">
      <c r="D723" s="3"/>
    </row>
    <row r="724" spans="4:4" x14ac:dyDescent="0.25">
      <c r="D724" s="3"/>
    </row>
    <row r="725" spans="4:4" x14ac:dyDescent="0.25">
      <c r="D725" s="3"/>
    </row>
    <row r="726" spans="4:4" x14ac:dyDescent="0.25">
      <c r="D726" s="3"/>
    </row>
    <row r="727" spans="4:4" x14ac:dyDescent="0.25">
      <c r="D727" s="3"/>
    </row>
    <row r="728" spans="4:4" x14ac:dyDescent="0.25">
      <c r="D728" s="3"/>
    </row>
    <row r="729" spans="4:4" x14ac:dyDescent="0.25">
      <c r="D729" s="3"/>
    </row>
    <row r="730" spans="4:4" x14ac:dyDescent="0.25">
      <c r="D730" s="3"/>
    </row>
    <row r="731" spans="4:4" x14ac:dyDescent="0.25">
      <c r="D731" s="3"/>
    </row>
    <row r="732" spans="4:4" x14ac:dyDescent="0.25">
      <c r="D732" s="3"/>
    </row>
    <row r="733" spans="4:4" x14ac:dyDescent="0.25">
      <c r="D733" s="3"/>
    </row>
    <row r="734" spans="4:4" x14ac:dyDescent="0.25">
      <c r="D734" s="3"/>
    </row>
    <row r="735" spans="4:4" x14ac:dyDescent="0.25">
      <c r="D735" s="3"/>
    </row>
    <row r="736" spans="4:4" x14ac:dyDescent="0.25">
      <c r="D736" s="3"/>
    </row>
    <row r="737" spans="4:4" x14ac:dyDescent="0.25">
      <c r="D737" s="3"/>
    </row>
    <row r="738" spans="4:4" x14ac:dyDescent="0.25">
      <c r="D738" s="3"/>
    </row>
    <row r="739" spans="4:4" x14ac:dyDescent="0.25">
      <c r="D739" s="3"/>
    </row>
    <row r="740" spans="4:4" x14ac:dyDescent="0.25">
      <c r="D740" s="3"/>
    </row>
    <row r="741" spans="4:4" x14ac:dyDescent="0.25">
      <c r="D741" s="3"/>
    </row>
    <row r="742" spans="4:4" x14ac:dyDescent="0.25">
      <c r="D742" s="3"/>
    </row>
    <row r="743" spans="4:4" x14ac:dyDescent="0.25">
      <c r="D743" s="3"/>
    </row>
    <row r="744" spans="4:4" x14ac:dyDescent="0.25">
      <c r="D744" s="3"/>
    </row>
    <row r="745" spans="4:4" x14ac:dyDescent="0.25">
      <c r="D745" s="3"/>
    </row>
    <row r="746" spans="4:4" x14ac:dyDescent="0.25">
      <c r="D746" s="3"/>
    </row>
    <row r="747" spans="4:4" x14ac:dyDescent="0.25">
      <c r="D747" s="3"/>
    </row>
    <row r="748" spans="4:4" x14ac:dyDescent="0.25">
      <c r="D748" s="3"/>
    </row>
    <row r="749" spans="4:4" x14ac:dyDescent="0.25">
      <c r="D749" s="3"/>
    </row>
    <row r="750" spans="4:4" x14ac:dyDescent="0.25">
      <c r="D750" s="3"/>
    </row>
    <row r="751" spans="4:4" x14ac:dyDescent="0.25">
      <c r="D751" s="3"/>
    </row>
    <row r="752" spans="4:4" x14ac:dyDescent="0.25">
      <c r="D752" s="3"/>
    </row>
    <row r="753" spans="4:4" x14ac:dyDescent="0.25">
      <c r="D753" s="3"/>
    </row>
    <row r="754" spans="4:4" x14ac:dyDescent="0.25">
      <c r="D754" s="3"/>
    </row>
    <row r="755" spans="4:4" x14ac:dyDescent="0.25">
      <c r="D755" s="3"/>
    </row>
    <row r="756" spans="4:4" x14ac:dyDescent="0.25">
      <c r="D756" s="3"/>
    </row>
    <row r="757" spans="4:4" x14ac:dyDescent="0.25">
      <c r="D757" s="3"/>
    </row>
    <row r="758" spans="4:4" x14ac:dyDescent="0.25">
      <c r="D758" s="3"/>
    </row>
    <row r="759" spans="4:4" x14ac:dyDescent="0.25">
      <c r="D759" s="3"/>
    </row>
    <row r="760" spans="4:4" x14ac:dyDescent="0.25">
      <c r="D760" s="3"/>
    </row>
    <row r="761" spans="4:4" x14ac:dyDescent="0.25">
      <c r="D761" s="3"/>
    </row>
    <row r="762" spans="4:4" x14ac:dyDescent="0.25">
      <c r="D762" s="3"/>
    </row>
    <row r="763" spans="4:4" x14ac:dyDescent="0.25">
      <c r="D763" s="3"/>
    </row>
    <row r="764" spans="4:4" x14ac:dyDescent="0.25">
      <c r="D764" s="3"/>
    </row>
    <row r="765" spans="4:4" x14ac:dyDescent="0.25">
      <c r="D765" s="3"/>
    </row>
    <row r="766" spans="4:4" x14ac:dyDescent="0.25">
      <c r="D766" s="3"/>
    </row>
    <row r="767" spans="4:4" x14ac:dyDescent="0.25">
      <c r="D767" s="3"/>
    </row>
    <row r="768" spans="4:4" x14ac:dyDescent="0.25">
      <c r="D768" s="3"/>
    </row>
    <row r="769" spans="4:4" x14ac:dyDescent="0.25">
      <c r="D769" s="3"/>
    </row>
    <row r="770" spans="4:4" x14ac:dyDescent="0.25">
      <c r="D770" s="3"/>
    </row>
    <row r="771" spans="4:4" x14ac:dyDescent="0.25">
      <c r="D771" s="3"/>
    </row>
    <row r="772" spans="4:4" x14ac:dyDescent="0.25">
      <c r="D772" s="3"/>
    </row>
    <row r="773" spans="4:4" x14ac:dyDescent="0.25">
      <c r="D773" s="3"/>
    </row>
    <row r="774" spans="4:4" x14ac:dyDescent="0.25">
      <c r="D774" s="3"/>
    </row>
    <row r="775" spans="4:4" x14ac:dyDescent="0.25">
      <c r="D775" s="3"/>
    </row>
    <row r="776" spans="4:4" x14ac:dyDescent="0.25">
      <c r="D776" s="3"/>
    </row>
    <row r="777" spans="4:4" x14ac:dyDescent="0.25">
      <c r="D777" s="3"/>
    </row>
    <row r="778" spans="4:4" x14ac:dyDescent="0.25">
      <c r="D778" s="3"/>
    </row>
    <row r="779" spans="4:4" x14ac:dyDescent="0.25">
      <c r="D779" s="3"/>
    </row>
    <row r="780" spans="4:4" x14ac:dyDescent="0.25">
      <c r="D780" s="3"/>
    </row>
    <row r="781" spans="4:4" x14ac:dyDescent="0.25">
      <c r="D781" s="3"/>
    </row>
    <row r="782" spans="4:4" x14ac:dyDescent="0.25">
      <c r="D782" s="3"/>
    </row>
    <row r="783" spans="4:4" x14ac:dyDescent="0.25">
      <c r="D783" s="3"/>
    </row>
    <row r="784" spans="4:4" x14ac:dyDescent="0.25">
      <c r="D784" s="3"/>
    </row>
    <row r="785" spans="4:4" x14ac:dyDescent="0.25">
      <c r="D785" s="3"/>
    </row>
    <row r="786" spans="4:4" x14ac:dyDescent="0.25">
      <c r="D786" s="3"/>
    </row>
    <row r="787" spans="4:4" x14ac:dyDescent="0.25">
      <c r="D787" s="3"/>
    </row>
    <row r="788" spans="4:4" x14ac:dyDescent="0.25">
      <c r="D788" s="3"/>
    </row>
    <row r="789" spans="4:4" x14ac:dyDescent="0.25">
      <c r="D789" s="3"/>
    </row>
    <row r="790" spans="4:4" x14ac:dyDescent="0.25">
      <c r="D790" s="3"/>
    </row>
    <row r="791" spans="4:4" x14ac:dyDescent="0.25">
      <c r="D791" s="3"/>
    </row>
    <row r="792" spans="4:4" x14ac:dyDescent="0.25">
      <c r="D792" s="3"/>
    </row>
    <row r="793" spans="4:4" x14ac:dyDescent="0.25">
      <c r="D793" s="3"/>
    </row>
    <row r="794" spans="4:4" x14ac:dyDescent="0.25">
      <c r="D794" s="3"/>
    </row>
    <row r="795" spans="4:4" x14ac:dyDescent="0.25">
      <c r="D795" s="3"/>
    </row>
    <row r="796" spans="4:4" x14ac:dyDescent="0.25">
      <c r="D796" s="3"/>
    </row>
    <row r="797" spans="4:4" x14ac:dyDescent="0.25">
      <c r="D797" s="3"/>
    </row>
    <row r="798" spans="4:4" x14ac:dyDescent="0.25">
      <c r="D798" s="3"/>
    </row>
    <row r="799" spans="4:4" x14ac:dyDescent="0.25">
      <c r="D799" s="3"/>
    </row>
    <row r="800" spans="4:4" x14ac:dyDescent="0.25">
      <c r="D800" s="3"/>
    </row>
    <row r="801" spans="4:4" x14ac:dyDescent="0.25">
      <c r="D801" s="3"/>
    </row>
    <row r="802" spans="4:4" x14ac:dyDescent="0.25">
      <c r="D802" s="3"/>
    </row>
    <row r="803" spans="4:4" x14ac:dyDescent="0.25">
      <c r="D803" s="3"/>
    </row>
    <row r="804" spans="4:4" x14ac:dyDescent="0.25">
      <c r="D804" s="3"/>
    </row>
    <row r="805" spans="4:4" x14ac:dyDescent="0.25">
      <c r="D805" s="3"/>
    </row>
    <row r="806" spans="4:4" x14ac:dyDescent="0.25">
      <c r="D806" s="3"/>
    </row>
    <row r="807" spans="4:4" x14ac:dyDescent="0.25">
      <c r="D807" s="3"/>
    </row>
    <row r="808" spans="4:4" x14ac:dyDescent="0.25">
      <c r="D808" s="3"/>
    </row>
    <row r="809" spans="4:4" x14ac:dyDescent="0.25">
      <c r="D809" s="3"/>
    </row>
    <row r="810" spans="4:4" x14ac:dyDescent="0.25">
      <c r="D810" s="3"/>
    </row>
    <row r="811" spans="4:4" x14ac:dyDescent="0.25">
      <c r="D811" s="3"/>
    </row>
    <row r="812" spans="4:4" x14ac:dyDescent="0.25">
      <c r="D812" s="3"/>
    </row>
    <row r="813" spans="4:4" x14ac:dyDescent="0.25">
      <c r="D813" s="3"/>
    </row>
    <row r="814" spans="4:4" x14ac:dyDescent="0.25">
      <c r="D814" s="3"/>
    </row>
    <row r="815" spans="4:4" x14ac:dyDescent="0.25">
      <c r="D815" s="3"/>
    </row>
    <row r="816" spans="4:4" x14ac:dyDescent="0.25">
      <c r="D816" s="3"/>
    </row>
    <row r="817" spans="4:4" x14ac:dyDescent="0.25">
      <c r="D817" s="3"/>
    </row>
    <row r="818" spans="4:4" x14ac:dyDescent="0.25">
      <c r="D818" s="3"/>
    </row>
    <row r="819" spans="4:4" x14ac:dyDescent="0.25">
      <c r="D819" s="3"/>
    </row>
    <row r="820" spans="4:4" x14ac:dyDescent="0.25">
      <c r="D820" s="3"/>
    </row>
    <row r="821" spans="4:4" x14ac:dyDescent="0.25">
      <c r="D821" s="3"/>
    </row>
    <row r="822" spans="4:4" x14ac:dyDescent="0.25">
      <c r="D822" s="3"/>
    </row>
    <row r="823" spans="4:4" x14ac:dyDescent="0.25">
      <c r="D823" s="3"/>
    </row>
    <row r="824" spans="4:4" x14ac:dyDescent="0.25">
      <c r="D824" s="3"/>
    </row>
    <row r="825" spans="4:4" x14ac:dyDescent="0.25">
      <c r="D825" s="3"/>
    </row>
    <row r="826" spans="4:4" x14ac:dyDescent="0.25">
      <c r="D826" s="3"/>
    </row>
    <row r="827" spans="4:4" x14ac:dyDescent="0.25">
      <c r="D827" s="3"/>
    </row>
    <row r="828" spans="4:4" x14ac:dyDescent="0.25">
      <c r="D828" s="3"/>
    </row>
    <row r="829" spans="4:4" x14ac:dyDescent="0.25">
      <c r="D829" s="3"/>
    </row>
    <row r="830" spans="4:4" x14ac:dyDescent="0.25">
      <c r="D830" s="3"/>
    </row>
    <row r="831" spans="4:4" x14ac:dyDescent="0.25">
      <c r="D831" s="3"/>
    </row>
    <row r="832" spans="4:4" x14ac:dyDescent="0.25">
      <c r="D832" s="3"/>
    </row>
    <row r="833" spans="4:4" x14ac:dyDescent="0.25">
      <c r="D833" s="3"/>
    </row>
    <row r="834" spans="4:4" x14ac:dyDescent="0.25">
      <c r="D834" s="3"/>
    </row>
    <row r="835" spans="4:4" x14ac:dyDescent="0.25">
      <c r="D835" s="3"/>
    </row>
    <row r="836" spans="4:4" x14ac:dyDescent="0.25">
      <c r="D836" s="3"/>
    </row>
    <row r="837" spans="4:4" x14ac:dyDescent="0.25">
      <c r="D837" s="3"/>
    </row>
    <row r="838" spans="4:4" x14ac:dyDescent="0.25">
      <c r="D838" s="3"/>
    </row>
    <row r="839" spans="4:4" x14ac:dyDescent="0.25">
      <c r="D839" s="3"/>
    </row>
    <row r="840" spans="4:4" x14ac:dyDescent="0.25">
      <c r="D840" s="3"/>
    </row>
    <row r="841" spans="4:4" x14ac:dyDescent="0.25">
      <c r="D841" s="3"/>
    </row>
    <row r="842" spans="4:4" x14ac:dyDescent="0.25">
      <c r="D842" s="3"/>
    </row>
    <row r="843" spans="4:4" x14ac:dyDescent="0.25">
      <c r="D843" s="3"/>
    </row>
    <row r="844" spans="4:4" x14ac:dyDescent="0.25">
      <c r="D844" s="3"/>
    </row>
    <row r="845" spans="4:4" x14ac:dyDescent="0.25">
      <c r="D845" s="3"/>
    </row>
    <row r="846" spans="4:4" x14ac:dyDescent="0.25">
      <c r="D846" s="3"/>
    </row>
    <row r="847" spans="4:4" x14ac:dyDescent="0.25">
      <c r="D847" s="3"/>
    </row>
    <row r="848" spans="4:4" x14ac:dyDescent="0.25">
      <c r="D848" s="3"/>
    </row>
    <row r="849" spans="4:4" x14ac:dyDescent="0.25">
      <c r="D849" s="3"/>
    </row>
    <row r="850" spans="4:4" x14ac:dyDescent="0.25">
      <c r="D850" s="3"/>
    </row>
    <row r="851" spans="4:4" x14ac:dyDescent="0.25">
      <c r="D851" s="3"/>
    </row>
    <row r="852" spans="4:4" x14ac:dyDescent="0.25">
      <c r="D852" s="3"/>
    </row>
    <row r="853" spans="4:4" x14ac:dyDescent="0.25">
      <c r="D853" s="3"/>
    </row>
    <row r="854" spans="4:4" x14ac:dyDescent="0.25">
      <c r="D854" s="3"/>
    </row>
    <row r="855" spans="4:4" x14ac:dyDescent="0.25">
      <c r="D855" s="3"/>
    </row>
    <row r="856" spans="4:4" x14ac:dyDescent="0.25">
      <c r="D856" s="3"/>
    </row>
    <row r="857" spans="4:4" x14ac:dyDescent="0.25">
      <c r="D857" s="3"/>
    </row>
    <row r="858" spans="4:4" x14ac:dyDescent="0.25">
      <c r="D858" s="3"/>
    </row>
    <row r="859" spans="4:4" x14ac:dyDescent="0.25">
      <c r="D859" s="3"/>
    </row>
    <row r="860" spans="4:4" x14ac:dyDescent="0.25">
      <c r="D860" s="3"/>
    </row>
    <row r="861" spans="4:4" x14ac:dyDescent="0.25">
      <c r="D861" s="3"/>
    </row>
    <row r="862" spans="4:4" x14ac:dyDescent="0.25">
      <c r="D862" s="3"/>
    </row>
    <row r="863" spans="4:4" x14ac:dyDescent="0.25">
      <c r="D863" s="3"/>
    </row>
    <row r="864" spans="4:4" x14ac:dyDescent="0.25">
      <c r="D864" s="3"/>
    </row>
    <row r="865" spans="4:4" x14ac:dyDescent="0.25">
      <c r="D865" s="3"/>
    </row>
    <row r="866" spans="4:4" x14ac:dyDescent="0.25">
      <c r="D866" s="3"/>
    </row>
    <row r="867" spans="4:4" x14ac:dyDescent="0.25">
      <c r="D867" s="3"/>
    </row>
    <row r="868" spans="4:4" x14ac:dyDescent="0.25">
      <c r="D868" s="3"/>
    </row>
    <row r="869" spans="4:4" x14ac:dyDescent="0.25">
      <c r="D869" s="3"/>
    </row>
    <row r="870" spans="4:4" x14ac:dyDescent="0.25">
      <c r="D870" s="3"/>
    </row>
    <row r="871" spans="4:4" x14ac:dyDescent="0.25">
      <c r="D871" s="3"/>
    </row>
    <row r="872" spans="4:4" x14ac:dyDescent="0.25">
      <c r="D872" s="3"/>
    </row>
    <row r="873" spans="4:4" x14ac:dyDescent="0.25">
      <c r="D873" s="3"/>
    </row>
    <row r="874" spans="4:4" x14ac:dyDescent="0.25">
      <c r="D874" s="3"/>
    </row>
    <row r="875" spans="4:4" x14ac:dyDescent="0.25">
      <c r="D875" s="3"/>
    </row>
    <row r="876" spans="4:4" x14ac:dyDescent="0.25">
      <c r="D876" s="3"/>
    </row>
    <row r="877" spans="4:4" x14ac:dyDescent="0.25">
      <c r="D877" s="3"/>
    </row>
    <row r="878" spans="4:4" x14ac:dyDescent="0.25">
      <c r="D878" s="3"/>
    </row>
    <row r="879" spans="4:4" x14ac:dyDescent="0.25">
      <c r="D879" s="3"/>
    </row>
    <row r="880" spans="4:4" x14ac:dyDescent="0.25">
      <c r="D880" s="3"/>
    </row>
    <row r="881" spans="4:4" x14ac:dyDescent="0.25">
      <c r="D881" s="3"/>
    </row>
    <row r="882" spans="4:4" x14ac:dyDescent="0.25">
      <c r="D882" s="3"/>
    </row>
    <row r="883" spans="4:4" x14ac:dyDescent="0.25">
      <c r="D883" s="3"/>
    </row>
    <row r="884" spans="4:4" x14ac:dyDescent="0.25">
      <c r="D884" s="3"/>
    </row>
    <row r="885" spans="4:4" x14ac:dyDescent="0.25">
      <c r="D885" s="3"/>
    </row>
    <row r="886" spans="4:4" x14ac:dyDescent="0.25">
      <c r="D886" s="3"/>
    </row>
    <row r="887" spans="4:4" x14ac:dyDescent="0.25">
      <c r="D887" s="3"/>
    </row>
    <row r="888" spans="4:4" x14ac:dyDescent="0.25">
      <c r="D888" s="3"/>
    </row>
    <row r="889" spans="4:4" x14ac:dyDescent="0.25">
      <c r="D889" s="3"/>
    </row>
    <row r="890" spans="4:4" x14ac:dyDescent="0.25">
      <c r="D890" s="3"/>
    </row>
    <row r="891" spans="4:4" x14ac:dyDescent="0.25">
      <c r="D891" s="3"/>
    </row>
    <row r="892" spans="4:4" x14ac:dyDescent="0.25">
      <c r="D892" s="3"/>
    </row>
    <row r="893" spans="4:4" x14ac:dyDescent="0.25">
      <c r="D893" s="3"/>
    </row>
    <row r="894" spans="4:4" x14ac:dyDescent="0.25">
      <c r="D894" s="3"/>
    </row>
  </sheetData>
  <conditionalFormatting sqref="E40 B16 B14:C15 E22 E11:E15 B21:C21 A3:A4 A6:A38 D35:D37">
    <cfRule type="notContainsBlanks" dxfId="2" priority="4">
      <formula>LEN(TRIM(A3))&gt;0</formula>
    </cfRule>
  </conditionalFormatting>
  <conditionalFormatting sqref="D15:D18">
    <cfRule type="notContainsBlanks" dxfId="1" priority="3">
      <formula>LEN(TRIM(D15))&gt;0</formula>
    </cfRule>
  </conditionalFormatting>
  <conditionalFormatting sqref="E23">
    <cfRule type="notContainsBlanks" dxfId="0" priority="2">
      <formula>LEN(TRIM(E23))&gt;0</formula>
    </cfRule>
  </conditionalFormatting>
  <hyperlinks>
    <hyperlink ref="A14" r:id="rId1"/>
    <hyperlink ref="A2" r:id="rId2"/>
    <hyperlink ref="A3" r:id="rId3"/>
    <hyperlink ref="A4" r:id="rId4"/>
    <hyperlink ref="A6" r:id="rId5"/>
    <hyperlink ref="A7" r:id="rId6"/>
    <hyperlink ref="A8" r:id="rId7"/>
    <hyperlink ref="A9" r:id="rId8"/>
    <hyperlink ref="A10" r:id="rId9"/>
    <hyperlink ref="A11" r:id="rId10"/>
    <hyperlink ref="A12" r:id="rId11"/>
    <hyperlink ref="A15" r:id="rId12"/>
    <hyperlink ref="A16" r:id="rId13"/>
    <hyperlink ref="A17" r:id="rId14"/>
    <hyperlink ref="A18" r:id="rId15"/>
    <hyperlink ref="A19" r:id="rId16"/>
    <hyperlink ref="A20" r:id="rId17"/>
    <hyperlink ref="A21" r:id="rId18"/>
    <hyperlink ref="A22" r:id="rId19"/>
    <hyperlink ref="A23" r:id="rId20"/>
    <hyperlink ref="A24" r:id="rId21"/>
    <hyperlink ref="A25" r:id="rId22"/>
    <hyperlink ref="A26" r:id="rId23"/>
    <hyperlink ref="A27" r:id="rId24"/>
    <hyperlink ref="A28" r:id="rId25"/>
    <hyperlink ref="A29" r:id="rId26"/>
    <hyperlink ref="A30" r:id="rId27"/>
    <hyperlink ref="A31" r:id="rId28"/>
    <hyperlink ref="A32" r:id="rId29"/>
    <hyperlink ref="A33" r:id="rId30"/>
    <hyperlink ref="A34" r:id="rId31"/>
    <hyperlink ref="A35" r:id="rId32"/>
    <hyperlink ref="A36" r:id="rId33"/>
    <hyperlink ref="A37" r:id="rId34"/>
    <hyperlink ref="A38" r:id="rId35"/>
    <hyperlink ref="A5" r:id="rId36"/>
  </hyperlinks>
  <pageMargins left="0.7" right="0.7" top="0.75" bottom="0.75" header="0.3" footer="0.3"/>
  <pageSetup paperSize="9" orientation="portrait" r:id="rId3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workbookViewId="0">
      <pane ySplit="1" topLeftCell="A2" activePane="bottomLeft" state="frozen"/>
      <selection pane="bottomLeft" activeCell="F7" sqref="F7"/>
    </sheetView>
  </sheetViews>
  <sheetFormatPr defaultRowHeight="15" x14ac:dyDescent="0.25"/>
  <cols>
    <col min="1" max="1" width="21.140625" style="3" customWidth="1"/>
    <col min="2" max="2" width="14.42578125" style="118" customWidth="1"/>
    <col min="3" max="3" width="14" style="118" customWidth="1"/>
    <col min="4" max="4" width="9.42578125" style="121" customWidth="1"/>
    <col min="5" max="5" width="10.42578125" style="99" customWidth="1"/>
    <col min="6" max="6" width="13.7109375" style="16" customWidth="1"/>
    <col min="7" max="7" width="19.140625" style="16" customWidth="1"/>
    <col min="8" max="8" width="10.42578125" style="16" customWidth="1"/>
    <col min="9" max="9" width="10" style="16" customWidth="1"/>
    <col min="10" max="11" width="15.140625" style="16" customWidth="1"/>
    <col min="12" max="12" width="9.140625" style="80" customWidth="1"/>
    <col min="13" max="13" width="9.140625" style="3" customWidth="1"/>
    <col min="14" max="16384" width="9.140625" style="3"/>
  </cols>
  <sheetData>
    <row r="1" spans="1:14" s="64" customFormat="1" ht="78" thickBot="1" x14ac:dyDescent="0.3">
      <c r="A1" s="124" t="s">
        <v>220</v>
      </c>
      <c r="B1" s="102" t="s">
        <v>352</v>
      </c>
      <c r="C1" s="103" t="s">
        <v>361</v>
      </c>
      <c r="D1" s="119" t="s">
        <v>423</v>
      </c>
      <c r="E1" s="105" t="s">
        <v>353</v>
      </c>
      <c r="F1" s="103" t="s">
        <v>366</v>
      </c>
      <c r="G1" s="104" t="s">
        <v>367</v>
      </c>
      <c r="H1" s="102" t="s">
        <v>221</v>
      </c>
      <c r="I1" s="103" t="s">
        <v>222</v>
      </c>
      <c r="J1" s="106" t="s">
        <v>223</v>
      </c>
      <c r="K1" s="103" t="s">
        <v>369</v>
      </c>
      <c r="L1" s="104" t="s">
        <v>224</v>
      </c>
      <c r="M1" s="107" t="s">
        <v>368</v>
      </c>
      <c r="N1" s="78" t="s">
        <v>225</v>
      </c>
    </row>
    <row r="2" spans="1:14" x14ac:dyDescent="0.25">
      <c r="A2" s="129" t="s">
        <v>29</v>
      </c>
      <c r="B2" s="128">
        <v>11199.4</v>
      </c>
      <c r="C2" s="6">
        <v>304.39</v>
      </c>
      <c r="D2" s="127">
        <f>C2/B2</f>
        <v>2.7179134596496242E-2</v>
      </c>
      <c r="E2" s="131">
        <v>0.06</v>
      </c>
      <c r="F2" s="97">
        <f>IF(D2&lt;E2, E2*B2-C2, 0)</f>
        <v>367.57399999999996</v>
      </c>
      <c r="G2" s="132">
        <f>IF(F2&gt;SUM(H2:L2),F2-SUM(H2:L2),0)</f>
        <v>367.57399999999996</v>
      </c>
      <c r="H2" s="135"/>
      <c r="I2" s="97"/>
      <c r="J2" s="97"/>
      <c r="K2" s="97"/>
      <c r="L2" s="132"/>
      <c r="M2" s="125">
        <f t="shared" ref="M2:M33" si="0">G2+H2+I2+J2+K2+L2</f>
        <v>367.57399999999996</v>
      </c>
    </row>
    <row r="3" spans="1:14" x14ac:dyDescent="0.25">
      <c r="A3" s="129" t="s">
        <v>230</v>
      </c>
      <c r="B3" s="128">
        <v>128993</v>
      </c>
      <c r="C3" s="6">
        <v>110</v>
      </c>
      <c r="D3" s="127">
        <f>C3/B3</f>
        <v>8.5275945206329026E-4</v>
      </c>
      <c r="E3" s="131"/>
      <c r="F3" s="97"/>
      <c r="G3" s="132"/>
      <c r="H3" s="135"/>
      <c r="I3" s="97"/>
      <c r="J3" s="97"/>
      <c r="K3" s="97"/>
      <c r="L3" s="132"/>
      <c r="M3" s="126">
        <f t="shared" si="0"/>
        <v>0</v>
      </c>
    </row>
    <row r="4" spans="1:14" x14ac:dyDescent="0.25">
      <c r="A4" s="129" t="s">
        <v>231</v>
      </c>
      <c r="B4" s="128">
        <v>406816</v>
      </c>
      <c r="C4" s="6">
        <v>35437</v>
      </c>
      <c r="D4" s="127">
        <f>C4/B4</f>
        <v>8.7108176669550855E-2</v>
      </c>
      <c r="E4" s="131"/>
      <c r="F4" s="97"/>
      <c r="G4" s="132"/>
      <c r="H4" s="135"/>
      <c r="I4" s="97"/>
      <c r="J4" s="97"/>
      <c r="K4" s="97"/>
      <c r="L4" s="132"/>
      <c r="M4" s="126">
        <f t="shared" si="0"/>
        <v>0</v>
      </c>
    </row>
    <row r="5" spans="1:14" x14ac:dyDescent="0.25">
      <c r="A5" s="129" t="s">
        <v>232</v>
      </c>
      <c r="B5" s="128">
        <v>493753.4</v>
      </c>
      <c r="C5" s="6">
        <v>24</v>
      </c>
      <c r="D5" s="127">
        <f>C5/B5</f>
        <v>4.8607260223423272E-5</v>
      </c>
      <c r="E5" s="131"/>
      <c r="F5" s="97"/>
      <c r="G5" s="132"/>
      <c r="H5" s="135"/>
      <c r="I5" s="97"/>
      <c r="J5" s="97"/>
      <c r="K5" s="97"/>
      <c r="L5" s="132"/>
      <c r="M5" s="126">
        <f t="shared" si="0"/>
        <v>0</v>
      </c>
    </row>
    <row r="6" spans="1:14" x14ac:dyDescent="0.25">
      <c r="A6" s="129" t="s">
        <v>233</v>
      </c>
      <c r="B6" s="128">
        <v>92653.6</v>
      </c>
      <c r="C6" s="6">
        <v>22.58</v>
      </c>
      <c r="D6" s="127">
        <f>C6/B6</f>
        <v>2.4370342868490805E-4</v>
      </c>
      <c r="E6" s="131"/>
      <c r="F6" s="97"/>
      <c r="G6" s="132"/>
      <c r="H6" s="135"/>
      <c r="I6" s="97"/>
      <c r="J6" s="97"/>
      <c r="K6" s="97"/>
      <c r="L6" s="132"/>
      <c r="M6" s="126">
        <f t="shared" si="0"/>
        <v>0</v>
      </c>
    </row>
    <row r="7" spans="1:14" s="41" customFormat="1" x14ac:dyDescent="0.25">
      <c r="A7" s="130" t="s">
        <v>234</v>
      </c>
      <c r="B7" s="141"/>
      <c r="C7" s="143"/>
      <c r="D7" s="145"/>
      <c r="E7" s="147"/>
      <c r="F7" s="149"/>
      <c r="G7" s="151"/>
      <c r="H7" s="153"/>
      <c r="I7" s="149"/>
      <c r="J7" s="160">
        <v>1800000</v>
      </c>
      <c r="K7" s="149">
        <v>1550000</v>
      </c>
      <c r="L7" s="151"/>
      <c r="M7" s="155">
        <f t="shared" si="0"/>
        <v>3350000</v>
      </c>
      <c r="N7" s="98" t="s">
        <v>364</v>
      </c>
    </row>
    <row r="8" spans="1:14" x14ac:dyDescent="0.25">
      <c r="A8" s="129" t="s">
        <v>84</v>
      </c>
      <c r="B8" s="128">
        <v>108492.4</v>
      </c>
      <c r="C8" s="6">
        <v>171.59</v>
      </c>
      <c r="D8" s="127">
        <f t="shared" ref="D8:D39" si="1">C8/B8</f>
        <v>1.5815854382426788E-3</v>
      </c>
      <c r="E8" s="131">
        <v>0.1</v>
      </c>
      <c r="F8" s="97">
        <f>IF(D8&lt;E8, E8*B8-C8, 0)</f>
        <v>10677.65</v>
      </c>
      <c r="G8" s="132">
        <f>IF(F8&gt;SUM(H8:L8),F8-SUM(H8:L8),0)</f>
        <v>10677.65</v>
      </c>
      <c r="H8" s="135"/>
      <c r="I8" s="97"/>
      <c r="J8" s="97"/>
      <c r="K8" s="97"/>
      <c r="L8" s="132"/>
      <c r="M8" s="126">
        <f t="shared" si="0"/>
        <v>10677.65</v>
      </c>
    </row>
    <row r="9" spans="1:14" x14ac:dyDescent="0.25">
      <c r="A9" s="129" t="s">
        <v>87</v>
      </c>
      <c r="B9" s="128">
        <v>1083150.6000000001</v>
      </c>
      <c r="C9" s="6">
        <v>43542</v>
      </c>
      <c r="D9" s="127">
        <f t="shared" si="1"/>
        <v>4.0199396095058244E-2</v>
      </c>
      <c r="E9" s="131">
        <v>0.04</v>
      </c>
      <c r="F9" s="97">
        <f>IF(D9&lt;E9, E9*B9-C9, 0)</f>
        <v>0</v>
      </c>
      <c r="G9" s="132">
        <f>IF(F9&gt;SUM(H9:L9),F9-SUM(H9:L9),0)</f>
        <v>0</v>
      </c>
      <c r="H9" s="135"/>
      <c r="I9" s="97">
        <v>10000</v>
      </c>
      <c r="J9" s="97"/>
      <c r="K9" s="97"/>
      <c r="L9" s="132"/>
      <c r="M9" s="126">
        <f t="shared" si="0"/>
        <v>10000</v>
      </c>
    </row>
    <row r="10" spans="1:14" x14ac:dyDescent="0.25">
      <c r="A10" s="130" t="s">
        <v>235</v>
      </c>
      <c r="B10" s="128">
        <v>25213.914998575579</v>
      </c>
      <c r="C10" s="6">
        <v>0</v>
      </c>
      <c r="D10" s="127">
        <f t="shared" si="1"/>
        <v>0</v>
      </c>
      <c r="E10" s="131"/>
      <c r="F10" s="97"/>
      <c r="G10" s="132"/>
      <c r="H10" s="135"/>
      <c r="I10" s="97"/>
      <c r="J10" s="97"/>
      <c r="K10" s="97"/>
      <c r="L10" s="132"/>
      <c r="M10" s="126">
        <f t="shared" si="0"/>
        <v>0</v>
      </c>
    </row>
    <row r="11" spans="1:14" x14ac:dyDescent="0.25">
      <c r="A11" s="129" t="s">
        <v>236</v>
      </c>
      <c r="B11" s="128">
        <v>7432133.4000000004</v>
      </c>
      <c r="C11" s="6">
        <v>3021418</v>
      </c>
      <c r="D11" s="127">
        <f t="shared" si="1"/>
        <v>0.40653441446570371</v>
      </c>
      <c r="E11" s="131"/>
      <c r="F11" s="97"/>
      <c r="G11" s="132"/>
      <c r="H11" s="135"/>
      <c r="I11" s="97"/>
      <c r="J11" s="97"/>
      <c r="K11" s="97"/>
      <c r="L11" s="132"/>
      <c r="M11" s="126">
        <f t="shared" si="0"/>
        <v>0</v>
      </c>
    </row>
    <row r="12" spans="1:14" x14ac:dyDescent="0.25">
      <c r="A12" s="129" t="s">
        <v>166</v>
      </c>
      <c r="B12" s="128">
        <v>79032.100000000006</v>
      </c>
      <c r="C12" s="6">
        <v>345</v>
      </c>
      <c r="D12" s="127">
        <f t="shared" si="1"/>
        <v>4.3653148530786853E-3</v>
      </c>
      <c r="E12" s="131" t="s">
        <v>397</v>
      </c>
      <c r="F12" s="97">
        <f>B12*0.02</f>
        <v>1580.6420000000001</v>
      </c>
      <c r="G12" s="132">
        <f>IF(F12&gt;SUM(H12:L12),F12-SUM(H12:L12),0)</f>
        <v>1230.6420000000001</v>
      </c>
      <c r="H12" s="135"/>
      <c r="I12" s="97">
        <v>350</v>
      </c>
      <c r="J12" s="97"/>
      <c r="K12" s="97"/>
      <c r="L12" s="132"/>
      <c r="M12" s="126">
        <f t="shared" si="0"/>
        <v>1580.6420000000001</v>
      </c>
    </row>
    <row r="13" spans="1:14" x14ac:dyDescent="0.25">
      <c r="A13" s="129" t="s">
        <v>4</v>
      </c>
      <c r="B13" s="128">
        <v>597705.1</v>
      </c>
      <c r="C13" s="6">
        <v>3381</v>
      </c>
      <c r="D13" s="127">
        <f t="shared" si="1"/>
        <v>5.6566356887368038E-3</v>
      </c>
      <c r="E13" s="131"/>
      <c r="F13" s="97"/>
      <c r="G13" s="132"/>
      <c r="H13" s="128">
        <v>25000</v>
      </c>
      <c r="I13" s="97"/>
      <c r="J13" s="97"/>
      <c r="K13" s="97"/>
      <c r="L13" s="136">
        <f>0.2*B13-C13-SUM(H13:K13)</f>
        <v>91160.02</v>
      </c>
      <c r="M13" s="126">
        <f t="shared" si="0"/>
        <v>116160.02</v>
      </c>
    </row>
    <row r="14" spans="1:14" x14ac:dyDescent="0.25">
      <c r="A14" s="129" t="s">
        <v>89</v>
      </c>
      <c r="B14" s="128">
        <v>7632.8</v>
      </c>
      <c r="C14" s="6">
        <v>95</v>
      </c>
      <c r="D14" s="127">
        <f t="shared" si="1"/>
        <v>1.2446284456555917E-2</v>
      </c>
      <c r="E14" s="131" t="s">
        <v>91</v>
      </c>
      <c r="F14" s="97">
        <f>B14/10</f>
        <v>763.28</v>
      </c>
      <c r="G14" s="132">
        <f>IF(F14&gt;SUM(H14:L14),F14-SUM(H14:L14),0)</f>
        <v>763.28</v>
      </c>
      <c r="H14" s="135"/>
      <c r="I14" s="97"/>
      <c r="J14" s="97"/>
      <c r="K14" s="97"/>
      <c r="L14" s="132"/>
      <c r="M14" s="126">
        <f t="shared" si="0"/>
        <v>763.28</v>
      </c>
    </row>
    <row r="15" spans="1:14" x14ac:dyDescent="0.25">
      <c r="A15" s="129" t="s">
        <v>6</v>
      </c>
      <c r="B15" s="128">
        <v>84563.199999999997</v>
      </c>
      <c r="C15" s="6">
        <v>4530</v>
      </c>
      <c r="D15" s="127">
        <f t="shared" si="1"/>
        <v>5.3569401347158103E-2</v>
      </c>
      <c r="E15" s="131"/>
      <c r="F15" s="97"/>
      <c r="G15" s="132"/>
      <c r="H15" s="137">
        <f>8500-3968</f>
        <v>4532</v>
      </c>
      <c r="I15" s="97"/>
      <c r="J15" s="97"/>
      <c r="K15" s="97"/>
      <c r="L15" s="132"/>
      <c r="M15" s="126">
        <f t="shared" si="0"/>
        <v>4532</v>
      </c>
    </row>
    <row r="16" spans="1:14" x14ac:dyDescent="0.25">
      <c r="A16" s="129" t="s">
        <v>237</v>
      </c>
      <c r="B16" s="128">
        <v>185019.8</v>
      </c>
      <c r="C16" s="6">
        <v>11</v>
      </c>
      <c r="D16" s="127">
        <f t="shared" si="1"/>
        <v>5.9453096371307291E-5</v>
      </c>
      <c r="E16" s="131"/>
      <c r="F16" s="97"/>
      <c r="G16" s="132"/>
      <c r="H16" s="135"/>
      <c r="I16" s="97"/>
      <c r="J16" s="97"/>
      <c r="K16" s="97"/>
      <c r="L16" s="132"/>
      <c r="M16" s="126">
        <f t="shared" si="0"/>
        <v>0</v>
      </c>
    </row>
    <row r="17" spans="1:13" x14ac:dyDescent="0.25">
      <c r="A17" s="129" t="s">
        <v>92</v>
      </c>
      <c r="B17" s="128">
        <v>3465.1</v>
      </c>
      <c r="C17" s="6">
        <v>1270.0899999999999</v>
      </c>
      <c r="D17" s="127">
        <f t="shared" si="1"/>
        <v>0.36653776225794349</v>
      </c>
      <c r="E17" s="131">
        <v>0.1</v>
      </c>
      <c r="F17" s="97">
        <f>IF(D17&lt;E17, E17*B17-C17, 0)</f>
        <v>0</v>
      </c>
      <c r="G17" s="132">
        <f>IF(F17&gt;SUM(H17:L17),F17-SUM(H17:L17),0)</f>
        <v>0</v>
      </c>
      <c r="H17" s="135"/>
      <c r="I17" s="97"/>
      <c r="J17" s="97"/>
      <c r="K17" s="97"/>
      <c r="L17" s="132"/>
      <c r="M17" s="126">
        <f t="shared" si="0"/>
        <v>0</v>
      </c>
    </row>
    <row r="18" spans="1:13" x14ac:dyDescent="0.25">
      <c r="A18" s="129" t="s">
        <v>31</v>
      </c>
      <c r="B18" s="128">
        <v>36249.800000000003</v>
      </c>
      <c r="C18" s="6">
        <v>3653.66</v>
      </c>
      <c r="D18" s="127">
        <f t="shared" si="1"/>
        <v>0.10079117677890635</v>
      </c>
      <c r="E18" s="131"/>
      <c r="F18" s="97"/>
      <c r="G18" s="132"/>
      <c r="H18" s="135"/>
      <c r="I18" s="97"/>
      <c r="J18" s="97"/>
      <c r="K18" s="97"/>
      <c r="L18" s="132"/>
      <c r="M18" s="126">
        <f t="shared" si="0"/>
        <v>0</v>
      </c>
    </row>
    <row r="19" spans="1:13" x14ac:dyDescent="0.25">
      <c r="A19" s="130" t="s">
        <v>95</v>
      </c>
      <c r="B19" s="128">
        <v>30419.26863822775</v>
      </c>
      <c r="C19" s="6">
        <v>0</v>
      </c>
      <c r="D19" s="127">
        <f t="shared" si="1"/>
        <v>0</v>
      </c>
      <c r="E19" s="131">
        <v>0.05</v>
      </c>
      <c r="F19" s="97">
        <f>IF(D19&lt;E19, E19*B19-C19, 0)</f>
        <v>1520.9634319113875</v>
      </c>
      <c r="G19" s="132">
        <f>IF(F19&gt;SUM(H19:L19),F19-SUM(H19:L19),0)</f>
        <v>1520.9634319113875</v>
      </c>
      <c r="H19" s="135"/>
      <c r="I19" s="97"/>
      <c r="J19" s="97"/>
      <c r="K19" s="97"/>
      <c r="L19" s="132"/>
      <c r="M19" s="126">
        <f t="shared" si="0"/>
        <v>1520.9634319113875</v>
      </c>
    </row>
    <row r="20" spans="1:13" x14ac:dyDescent="0.25">
      <c r="A20" s="129" t="s">
        <v>238</v>
      </c>
      <c r="B20" s="128">
        <v>451643.7</v>
      </c>
      <c r="C20" s="6">
        <v>149</v>
      </c>
      <c r="D20" s="127">
        <f t="shared" si="1"/>
        <v>3.2990607419078354E-4</v>
      </c>
      <c r="E20" s="131"/>
      <c r="F20" s="97"/>
      <c r="G20" s="132"/>
      <c r="H20" s="135"/>
      <c r="I20" s="97"/>
      <c r="J20" s="97"/>
      <c r="K20" s="97"/>
      <c r="L20" s="132"/>
      <c r="M20" s="126">
        <f t="shared" si="0"/>
        <v>0</v>
      </c>
    </row>
    <row r="21" spans="1:13" ht="30" x14ac:dyDescent="0.25">
      <c r="A21" s="129" t="s">
        <v>239</v>
      </c>
      <c r="B21" s="128">
        <v>25112.400000000001</v>
      </c>
      <c r="C21" s="6">
        <v>2777.04</v>
      </c>
      <c r="D21" s="127">
        <f t="shared" si="1"/>
        <v>0.11058441248148325</v>
      </c>
      <c r="E21" s="131"/>
      <c r="F21" s="97"/>
      <c r="G21" s="132"/>
      <c r="H21" s="135"/>
      <c r="I21" s="97"/>
      <c r="J21" s="97"/>
      <c r="K21" s="97"/>
      <c r="L21" s="132"/>
      <c r="M21" s="126">
        <f t="shared" si="0"/>
        <v>0</v>
      </c>
    </row>
    <row r="22" spans="1:13" ht="30" x14ac:dyDescent="0.25">
      <c r="A22" s="130" t="s">
        <v>240</v>
      </c>
      <c r="B22" s="128">
        <v>12.763058468239878</v>
      </c>
      <c r="C22" s="6">
        <v>0</v>
      </c>
      <c r="D22" s="127">
        <f t="shared" si="1"/>
        <v>0</v>
      </c>
      <c r="E22" s="131"/>
      <c r="F22" s="97"/>
      <c r="G22" s="132"/>
      <c r="H22" s="135"/>
      <c r="I22" s="97"/>
      <c r="J22" s="97"/>
      <c r="K22" s="97"/>
      <c r="L22" s="132"/>
      <c r="M22" s="126">
        <f t="shared" si="0"/>
        <v>0</v>
      </c>
    </row>
    <row r="23" spans="1:13" x14ac:dyDescent="0.25">
      <c r="A23" s="129" t="s">
        <v>241</v>
      </c>
      <c r="B23" s="128">
        <v>440224.4</v>
      </c>
      <c r="C23" s="6">
        <v>14</v>
      </c>
      <c r="D23" s="127">
        <f t="shared" si="1"/>
        <v>3.1801962817145072E-5</v>
      </c>
      <c r="E23" s="131"/>
      <c r="F23" s="97"/>
      <c r="G23" s="132"/>
      <c r="H23" s="135"/>
      <c r="I23" s="97"/>
      <c r="J23" s="97"/>
      <c r="K23" s="97"/>
      <c r="L23" s="132"/>
      <c r="M23" s="126">
        <f t="shared" si="0"/>
        <v>0</v>
      </c>
    </row>
    <row r="24" spans="1:13" x14ac:dyDescent="0.25">
      <c r="A24" s="129" t="s">
        <v>97</v>
      </c>
      <c r="B24" s="128">
        <v>3672584.3</v>
      </c>
      <c r="C24" s="6">
        <v>61881</v>
      </c>
      <c r="D24" s="127">
        <f t="shared" si="1"/>
        <v>1.6849443047502001E-2</v>
      </c>
      <c r="E24" s="131">
        <v>0.1</v>
      </c>
      <c r="F24" s="97">
        <f>IF(D24&lt;E24, E24*B24-C24, 0)</f>
        <v>305377.43</v>
      </c>
      <c r="G24" s="132">
        <f>IF(F24&gt;SUM(H24:L24),F24-SUM(H24:L24),0)</f>
        <v>130377.43</v>
      </c>
      <c r="H24" s="137">
        <v>175000</v>
      </c>
      <c r="I24" s="97"/>
      <c r="J24" s="97"/>
      <c r="K24" s="97"/>
      <c r="L24" s="132"/>
      <c r="M24" s="126">
        <f t="shared" si="0"/>
        <v>305377.43</v>
      </c>
    </row>
    <row r="25" spans="1:13" ht="30" x14ac:dyDescent="0.25">
      <c r="A25" s="129" t="s">
        <v>242</v>
      </c>
      <c r="B25" s="128">
        <v>642744.69999999995</v>
      </c>
      <c r="C25" s="6">
        <v>642270.59</v>
      </c>
      <c r="D25" s="127">
        <f t="shared" si="1"/>
        <v>0.99926236653526668</v>
      </c>
      <c r="E25" s="131"/>
      <c r="F25" s="97"/>
      <c r="G25" s="132"/>
      <c r="H25" s="135"/>
      <c r="I25" s="97"/>
      <c r="J25" s="97"/>
      <c r="K25" s="97"/>
      <c r="L25" s="132"/>
      <c r="M25" s="126">
        <f t="shared" si="0"/>
        <v>0</v>
      </c>
    </row>
    <row r="26" spans="1:13" x14ac:dyDescent="0.25">
      <c r="A26" s="129" t="s">
        <v>152</v>
      </c>
      <c r="B26" s="128">
        <v>80529.5</v>
      </c>
      <c r="C26" s="6">
        <v>3.31</v>
      </c>
      <c r="D26" s="127">
        <f t="shared" si="1"/>
        <v>4.1102949850675843E-5</v>
      </c>
      <c r="E26" s="131"/>
      <c r="F26" s="97"/>
      <c r="G26" s="132"/>
      <c r="H26" s="135"/>
      <c r="I26" s="97"/>
      <c r="J26" s="97"/>
      <c r="K26" s="97"/>
      <c r="L26" s="136">
        <f>0.2*B26-C26-SUM(H26:K26)</f>
        <v>16102.590000000002</v>
      </c>
      <c r="M26" s="126">
        <f t="shared" si="0"/>
        <v>16102.590000000002</v>
      </c>
    </row>
    <row r="27" spans="1:13" x14ac:dyDescent="0.25">
      <c r="A27" s="129" t="s">
        <v>243</v>
      </c>
      <c r="B27" s="128">
        <v>25698.400000000001</v>
      </c>
      <c r="C27" s="6">
        <v>52</v>
      </c>
      <c r="D27" s="127">
        <f t="shared" si="1"/>
        <v>2.0234722784297854E-3</v>
      </c>
      <c r="E27" s="131"/>
      <c r="F27" s="97"/>
      <c r="G27" s="132"/>
      <c r="H27" s="135"/>
      <c r="I27" s="97"/>
      <c r="J27" s="97"/>
      <c r="K27" s="97"/>
      <c r="L27" s="132"/>
      <c r="M27" s="126">
        <f t="shared" si="0"/>
        <v>0</v>
      </c>
    </row>
    <row r="28" spans="1:13" x14ac:dyDescent="0.25">
      <c r="A28" s="129" t="s">
        <v>244</v>
      </c>
      <c r="B28" s="128">
        <v>35171.9</v>
      </c>
      <c r="C28" s="6">
        <v>2850.1</v>
      </c>
      <c r="D28" s="127">
        <f t="shared" si="1"/>
        <v>8.1033438625721099E-2</v>
      </c>
      <c r="E28" s="131"/>
      <c r="F28" s="97"/>
      <c r="G28" s="132"/>
      <c r="H28" s="135"/>
      <c r="I28" s="97"/>
      <c r="J28" s="97"/>
      <c r="K28" s="97"/>
      <c r="L28" s="132"/>
      <c r="M28" s="126">
        <f t="shared" si="0"/>
        <v>0</v>
      </c>
    </row>
    <row r="29" spans="1:13" x14ac:dyDescent="0.25">
      <c r="A29" s="130" t="s">
        <v>245</v>
      </c>
      <c r="B29" s="128">
        <v>801065.13</v>
      </c>
      <c r="C29" s="6">
        <v>5.42</v>
      </c>
      <c r="D29" s="127">
        <f t="shared" si="1"/>
        <v>6.7659916741101932E-6</v>
      </c>
      <c r="E29" s="131"/>
      <c r="F29" s="97"/>
      <c r="G29" s="132"/>
      <c r="H29" s="135"/>
      <c r="I29" s="97"/>
      <c r="J29" s="97"/>
      <c r="K29" s="97"/>
      <c r="L29" s="132"/>
      <c r="M29" s="126">
        <f t="shared" si="0"/>
        <v>0</v>
      </c>
    </row>
    <row r="30" spans="1:13" x14ac:dyDescent="0.25">
      <c r="A30" s="129" t="s">
        <v>32</v>
      </c>
      <c r="B30" s="128">
        <v>47966.9</v>
      </c>
      <c r="C30" s="6">
        <v>89</v>
      </c>
      <c r="D30" s="127">
        <f t="shared" si="1"/>
        <v>1.8554461514085755E-3</v>
      </c>
      <c r="E30" s="131" t="s">
        <v>100</v>
      </c>
      <c r="F30" s="97">
        <v>83.88</v>
      </c>
      <c r="G30" s="132">
        <f>IF(F30&gt;SUM(H30:L30),F30-SUM(H30:L30),0)</f>
        <v>83.88</v>
      </c>
      <c r="H30" s="135"/>
      <c r="I30" s="97"/>
      <c r="J30" s="97"/>
      <c r="K30" s="97"/>
      <c r="L30" s="132"/>
      <c r="M30" s="126">
        <f t="shared" si="0"/>
        <v>83.88</v>
      </c>
    </row>
    <row r="31" spans="1:13" x14ac:dyDescent="0.25">
      <c r="A31" s="129" t="s">
        <v>8</v>
      </c>
      <c r="B31" s="128">
        <v>14704.3</v>
      </c>
      <c r="C31" s="6">
        <v>501</v>
      </c>
      <c r="D31" s="127">
        <f t="shared" si="1"/>
        <v>3.4071666111273574E-2</v>
      </c>
      <c r="E31" s="131"/>
      <c r="F31" s="97"/>
      <c r="G31" s="132"/>
      <c r="H31" s="137">
        <v>5160.53</v>
      </c>
      <c r="I31" s="97"/>
      <c r="J31" s="97"/>
      <c r="K31" s="97"/>
      <c r="L31" s="132"/>
      <c r="M31" s="126">
        <f t="shared" si="0"/>
        <v>5160.53</v>
      </c>
    </row>
    <row r="32" spans="1:13" x14ac:dyDescent="0.25">
      <c r="A32" s="129" t="s">
        <v>102</v>
      </c>
      <c r="B32" s="128">
        <v>5698082.7000000002</v>
      </c>
      <c r="C32" s="6">
        <v>49680</v>
      </c>
      <c r="D32" s="127">
        <f t="shared" si="1"/>
        <v>8.718722176496314E-3</v>
      </c>
      <c r="E32" s="131">
        <v>0.1</v>
      </c>
      <c r="F32" s="97">
        <f>IF(D32&lt;E32, E32*B32-C32, 0)</f>
        <v>520128.27</v>
      </c>
      <c r="G32" s="132">
        <f>IF(F32&gt;SUM(H32:L32),F32-SUM(H32:L32),0)</f>
        <v>484393.27</v>
      </c>
      <c r="H32" s="135"/>
      <c r="I32" s="97"/>
      <c r="J32" s="97">
        <f>2361+2410+4364+26600</f>
        <v>35735</v>
      </c>
      <c r="K32" s="97"/>
      <c r="L32" s="132"/>
      <c r="M32" s="126">
        <f t="shared" si="0"/>
        <v>520128.27</v>
      </c>
    </row>
    <row r="33" spans="1:14" x14ac:dyDescent="0.25">
      <c r="A33" s="129" t="s">
        <v>246</v>
      </c>
      <c r="B33" s="128">
        <v>119605.5</v>
      </c>
      <c r="C33" s="6">
        <v>93</v>
      </c>
      <c r="D33" s="127">
        <f t="shared" si="1"/>
        <v>7.7755621606029823E-4</v>
      </c>
      <c r="E33" s="131"/>
      <c r="F33" s="97"/>
      <c r="G33" s="132"/>
      <c r="H33" s="135"/>
      <c r="I33" s="97"/>
      <c r="J33" s="97"/>
      <c r="K33" s="97"/>
      <c r="L33" s="132"/>
      <c r="M33" s="126">
        <f t="shared" si="0"/>
        <v>0</v>
      </c>
    </row>
    <row r="34" spans="1:14" x14ac:dyDescent="0.25">
      <c r="A34" s="129" t="s">
        <v>183</v>
      </c>
      <c r="B34" s="128">
        <v>3657313</v>
      </c>
      <c r="C34" s="6">
        <v>460646</v>
      </c>
      <c r="D34" s="127">
        <f t="shared" si="1"/>
        <v>0.12595203090356227</v>
      </c>
      <c r="E34" s="131"/>
      <c r="F34" s="97"/>
      <c r="G34" s="132"/>
      <c r="H34" s="135"/>
      <c r="I34" s="97"/>
      <c r="J34" s="139">
        <v>150000</v>
      </c>
      <c r="K34" s="97">
        <f>723287.5-150455.1+12109</f>
        <v>584941.4</v>
      </c>
      <c r="L34" s="132"/>
      <c r="M34" s="126">
        <f t="shared" ref="M34:M65" si="2">G34+H34+I34+J34+K34+L34</f>
        <v>734941.4</v>
      </c>
    </row>
    <row r="35" spans="1:14" x14ac:dyDescent="0.25">
      <c r="A35" s="129" t="s">
        <v>33</v>
      </c>
      <c r="B35" s="128">
        <v>878364.1</v>
      </c>
      <c r="C35" s="6">
        <v>33086</v>
      </c>
      <c r="D35" s="127">
        <f t="shared" si="1"/>
        <v>3.7667750765314749E-2</v>
      </c>
      <c r="E35" s="131"/>
      <c r="F35" s="97"/>
      <c r="G35" s="132"/>
      <c r="H35" s="135"/>
      <c r="I35" s="97">
        <v>400</v>
      </c>
      <c r="J35" s="139">
        <f>0.05*B35-C35-I35</f>
        <v>10432.205000000002</v>
      </c>
      <c r="K35" s="97"/>
      <c r="L35" s="132"/>
      <c r="M35" s="126">
        <f t="shared" si="2"/>
        <v>10832.205000000002</v>
      </c>
    </row>
    <row r="36" spans="1:14" x14ac:dyDescent="0.25">
      <c r="A36" s="129" t="s">
        <v>247</v>
      </c>
      <c r="B36" s="128">
        <v>330035.5</v>
      </c>
      <c r="C36" s="6">
        <v>0</v>
      </c>
      <c r="D36" s="127">
        <f t="shared" si="1"/>
        <v>0</v>
      </c>
      <c r="E36" s="131"/>
      <c r="F36" s="97"/>
      <c r="G36" s="132"/>
      <c r="H36" s="135"/>
      <c r="I36" s="97"/>
      <c r="J36" s="97"/>
      <c r="K36" s="97"/>
      <c r="L36" s="132"/>
      <c r="M36" s="126">
        <f t="shared" si="2"/>
        <v>0</v>
      </c>
    </row>
    <row r="37" spans="1:14" x14ac:dyDescent="0.25">
      <c r="A37" s="222" t="s">
        <v>248</v>
      </c>
      <c r="B37" s="128">
        <v>470116.6</v>
      </c>
      <c r="C37" s="6">
        <v>26</v>
      </c>
      <c r="D37" s="127">
        <f t="shared" si="1"/>
        <v>5.5305428483061437E-5</v>
      </c>
      <c r="E37" s="131"/>
      <c r="F37" s="97"/>
      <c r="G37" s="132"/>
      <c r="H37" s="135"/>
      <c r="I37" s="97"/>
      <c r="J37" s="97"/>
      <c r="K37" s="97"/>
      <c r="L37" s="132"/>
      <c r="M37" s="126">
        <f t="shared" si="2"/>
        <v>0</v>
      </c>
    </row>
    <row r="38" spans="1:14" x14ac:dyDescent="0.25">
      <c r="A38" s="129" t="s">
        <v>217</v>
      </c>
      <c r="B38" s="128">
        <v>730741.8</v>
      </c>
      <c r="C38" s="6">
        <v>76221.759999999995</v>
      </c>
      <c r="D38" s="127">
        <f t="shared" si="1"/>
        <v>0.10430737642215074</v>
      </c>
      <c r="E38" s="131"/>
      <c r="F38" s="97"/>
      <c r="G38" s="132"/>
      <c r="H38" s="135"/>
      <c r="I38" s="97"/>
      <c r="J38" s="139">
        <f>0.13*B38-C38</f>
        <v>18774.674000000014</v>
      </c>
      <c r="K38" s="97"/>
      <c r="L38" s="132"/>
      <c r="M38" s="126">
        <f t="shared" si="2"/>
        <v>18774.674000000014</v>
      </c>
    </row>
    <row r="39" spans="1:14" x14ac:dyDescent="0.25">
      <c r="A39" s="129" t="s">
        <v>10</v>
      </c>
      <c r="B39" s="128">
        <v>165505.1</v>
      </c>
      <c r="C39" s="6">
        <v>38</v>
      </c>
      <c r="D39" s="127">
        <f t="shared" si="1"/>
        <v>2.2960017546287093E-4</v>
      </c>
      <c r="E39" s="131"/>
      <c r="F39" s="97"/>
      <c r="G39" s="132"/>
      <c r="H39" s="135">
        <f>0.21*B39-C39</f>
        <v>34718.071000000004</v>
      </c>
      <c r="I39" s="97"/>
      <c r="J39" s="97"/>
      <c r="K39" s="97"/>
      <c r="L39" s="132"/>
      <c r="M39" s="126">
        <f t="shared" si="2"/>
        <v>34718.071000000004</v>
      </c>
    </row>
    <row r="40" spans="1:14" x14ac:dyDescent="0.25">
      <c r="A40" s="129" t="s">
        <v>103</v>
      </c>
      <c r="B40" s="128">
        <v>39863.599999999999</v>
      </c>
      <c r="C40" s="6">
        <v>1278</v>
      </c>
      <c r="D40" s="127">
        <f t="shared" ref="D40:D71" si="3">C40/B40</f>
        <v>3.2059322289005508E-2</v>
      </c>
      <c r="E40" s="131">
        <v>0.05</v>
      </c>
      <c r="F40" s="97">
        <f>IF(D40&lt;E40, E40*B40-C40, 0)</f>
        <v>715.18000000000006</v>
      </c>
      <c r="G40" s="132">
        <f>IF(F40&gt;SUM(H40:L40),F40-SUM(H40:L40),0)</f>
        <v>565.18000000000006</v>
      </c>
      <c r="H40" s="135"/>
      <c r="I40" s="97">
        <v>150</v>
      </c>
      <c r="J40" s="97"/>
      <c r="K40" s="97"/>
      <c r="L40" s="132"/>
      <c r="M40" s="126">
        <f t="shared" si="2"/>
        <v>715.18000000000006</v>
      </c>
    </row>
    <row r="41" spans="1:14" x14ac:dyDescent="0.25">
      <c r="A41" s="129" t="s">
        <v>181</v>
      </c>
      <c r="B41" s="128">
        <v>1972842.4</v>
      </c>
      <c r="C41" s="6">
        <v>1972842.4</v>
      </c>
      <c r="D41" s="127">
        <f t="shared" si="3"/>
        <v>1</v>
      </c>
      <c r="E41" s="226"/>
      <c r="F41" s="7"/>
      <c r="G41" s="227"/>
      <c r="H41" s="137"/>
      <c r="I41" s="7"/>
      <c r="J41" s="161">
        <f>B41-C41</f>
        <v>0</v>
      </c>
      <c r="K41" s="97"/>
      <c r="L41" s="132"/>
      <c r="M41" s="126">
        <f t="shared" si="2"/>
        <v>0</v>
      </c>
      <c r="N41" s="209" t="s">
        <v>481</v>
      </c>
    </row>
    <row r="42" spans="1:14" x14ac:dyDescent="0.25">
      <c r="A42" s="129" t="s">
        <v>11</v>
      </c>
      <c r="B42" s="128">
        <v>576110.19999999995</v>
      </c>
      <c r="C42" s="6">
        <v>4802</v>
      </c>
      <c r="D42" s="127">
        <f t="shared" si="3"/>
        <v>8.3352108676430312E-3</v>
      </c>
      <c r="E42" s="131">
        <v>0.04</v>
      </c>
      <c r="F42" s="97">
        <f>IF(D42&lt;E42, E42*B42-C42, 0)</f>
        <v>18242.407999999999</v>
      </c>
      <c r="G42" s="132">
        <f>IF(F42&gt;SUM(H42:L42),F42-SUM(H42:L42),0)</f>
        <v>10176.8652</v>
      </c>
      <c r="H42" s="135">
        <f>0.014*B42</f>
        <v>8065.5427999999993</v>
      </c>
      <c r="I42" s="97"/>
      <c r="J42" s="97"/>
      <c r="K42" s="97"/>
      <c r="L42" s="132"/>
      <c r="M42" s="126">
        <f t="shared" si="2"/>
        <v>18242.407999999999</v>
      </c>
    </row>
    <row r="43" spans="1:14" x14ac:dyDescent="0.25">
      <c r="A43" s="129" t="s">
        <v>249</v>
      </c>
      <c r="B43" s="128">
        <v>174842.2</v>
      </c>
      <c r="C43" s="6">
        <v>130</v>
      </c>
      <c r="D43" s="127">
        <f t="shared" si="3"/>
        <v>7.4352759230895049E-4</v>
      </c>
      <c r="E43" s="131"/>
      <c r="F43" s="97"/>
      <c r="G43" s="132"/>
      <c r="H43" s="135"/>
      <c r="I43" s="97"/>
      <c r="J43" s="97"/>
      <c r="K43" s="97"/>
      <c r="L43" s="132"/>
      <c r="M43" s="126">
        <f t="shared" si="2"/>
        <v>0</v>
      </c>
    </row>
    <row r="44" spans="1:14" x14ac:dyDescent="0.25">
      <c r="A44" s="129" t="s">
        <v>250</v>
      </c>
      <c r="B44" s="128">
        <v>55462.400000000001</v>
      </c>
      <c r="C44" s="6">
        <v>4736.5</v>
      </c>
      <c r="D44" s="127">
        <f t="shared" si="3"/>
        <v>8.5400199053773371E-2</v>
      </c>
      <c r="E44" s="131"/>
      <c r="F44" s="97"/>
      <c r="G44" s="132"/>
      <c r="H44" s="135"/>
      <c r="I44" s="97"/>
      <c r="J44" s="97"/>
      <c r="K44" s="97"/>
      <c r="L44" s="132"/>
      <c r="M44" s="126">
        <f t="shared" si="2"/>
        <v>0</v>
      </c>
    </row>
    <row r="45" spans="1:14" x14ac:dyDescent="0.25">
      <c r="A45" s="129" t="s">
        <v>12</v>
      </c>
      <c r="B45" s="128">
        <v>365755.7</v>
      </c>
      <c r="C45" s="6">
        <v>15818.7</v>
      </c>
      <c r="D45" s="127">
        <f t="shared" si="3"/>
        <v>4.3249360160347465E-2</v>
      </c>
      <c r="E45" s="131">
        <v>0.27</v>
      </c>
      <c r="F45" s="97">
        <f>IF(D45&lt;E45, E45*B45-C45, 0)</f>
        <v>82935.339000000007</v>
      </c>
      <c r="G45" s="132">
        <f>IF(F45&gt;SUM(H45:L45),F45-SUM(H45:L45),0)</f>
        <v>78439.968000000008</v>
      </c>
      <c r="H45" s="135">
        <f>0.03*B45-6477.3</f>
        <v>4495.3710000000001</v>
      </c>
      <c r="I45" s="97"/>
      <c r="J45" s="97"/>
      <c r="K45" s="97"/>
      <c r="L45" s="132"/>
      <c r="M45" s="126">
        <f t="shared" si="2"/>
        <v>82935.339000000007</v>
      </c>
    </row>
    <row r="46" spans="1:14" x14ac:dyDescent="0.25">
      <c r="A46" s="129" t="s">
        <v>251</v>
      </c>
      <c r="B46" s="128">
        <v>30535</v>
      </c>
      <c r="C46" s="6">
        <v>10.43</v>
      </c>
      <c r="D46" s="127">
        <f t="shared" si="3"/>
        <v>3.4157524152611757E-4</v>
      </c>
      <c r="E46" s="131"/>
      <c r="F46" s="97"/>
      <c r="G46" s="132"/>
      <c r="H46" s="135"/>
      <c r="I46" s="97"/>
      <c r="J46" s="97"/>
      <c r="K46" s="97"/>
      <c r="L46" s="132"/>
      <c r="M46" s="126">
        <f t="shared" si="2"/>
        <v>0</v>
      </c>
    </row>
    <row r="47" spans="1:14" x14ac:dyDescent="0.25">
      <c r="A47" s="129" t="s">
        <v>252</v>
      </c>
      <c r="B47" s="128">
        <v>98279.5</v>
      </c>
      <c r="C47" s="6">
        <v>120.6</v>
      </c>
      <c r="D47" s="127">
        <f t="shared" si="3"/>
        <v>1.2271124700471614E-3</v>
      </c>
      <c r="E47" s="131"/>
      <c r="F47" s="97"/>
      <c r="G47" s="132"/>
      <c r="H47" s="135"/>
      <c r="I47" s="97"/>
      <c r="J47" s="97"/>
      <c r="K47" s="97"/>
      <c r="L47" s="132"/>
      <c r="M47" s="126">
        <f t="shared" si="2"/>
        <v>0</v>
      </c>
    </row>
    <row r="48" spans="1:14" ht="30" x14ac:dyDescent="0.25">
      <c r="A48" s="129" t="s">
        <v>253</v>
      </c>
      <c r="B48" s="128">
        <v>115967.3</v>
      </c>
      <c r="C48" s="6">
        <v>26</v>
      </c>
      <c r="D48" s="127">
        <f t="shared" si="3"/>
        <v>2.2420113256064426E-4</v>
      </c>
      <c r="E48" s="131"/>
      <c r="F48" s="97"/>
      <c r="G48" s="132"/>
      <c r="H48" s="135"/>
      <c r="I48" s="97"/>
      <c r="J48" s="97"/>
      <c r="K48" s="97"/>
      <c r="L48" s="132"/>
      <c r="M48" s="126">
        <f t="shared" si="2"/>
        <v>0</v>
      </c>
    </row>
    <row r="49" spans="1:13" ht="30" x14ac:dyDescent="0.25">
      <c r="A49" s="129" t="s">
        <v>254</v>
      </c>
      <c r="B49" s="128">
        <v>13265.4</v>
      </c>
      <c r="C49" s="6">
        <v>31</v>
      </c>
      <c r="D49" s="127">
        <f t="shared" si="3"/>
        <v>2.3369065388152638E-3</v>
      </c>
      <c r="E49" s="131"/>
      <c r="F49" s="97"/>
      <c r="G49" s="132"/>
      <c r="H49" s="135"/>
      <c r="I49" s="97"/>
      <c r="J49" s="97"/>
      <c r="K49" s="97"/>
      <c r="L49" s="132"/>
      <c r="M49" s="126">
        <f t="shared" si="2"/>
        <v>0</v>
      </c>
    </row>
    <row r="50" spans="1:13" x14ac:dyDescent="0.25">
      <c r="A50" s="129" t="s">
        <v>255</v>
      </c>
      <c r="B50" s="128">
        <v>100469.8</v>
      </c>
      <c r="C50" s="6">
        <v>17918.22</v>
      </c>
      <c r="D50" s="127">
        <f t="shared" si="3"/>
        <v>0.17834433829867283</v>
      </c>
      <c r="E50" s="131"/>
      <c r="F50" s="97"/>
      <c r="G50" s="132"/>
      <c r="H50" s="135"/>
      <c r="I50" s="97"/>
      <c r="J50" s="97"/>
      <c r="K50" s="97"/>
      <c r="L50" s="132"/>
      <c r="M50" s="126">
        <f t="shared" si="2"/>
        <v>0</v>
      </c>
    </row>
    <row r="51" spans="1:13" x14ac:dyDescent="0.25">
      <c r="A51" s="129" t="s">
        <v>168</v>
      </c>
      <c r="B51" s="128">
        <v>7031.1</v>
      </c>
      <c r="C51" s="6">
        <v>38</v>
      </c>
      <c r="D51" s="127">
        <f t="shared" si="3"/>
        <v>5.4045597417189343E-3</v>
      </c>
      <c r="E51" s="131"/>
      <c r="F51" s="97"/>
      <c r="G51" s="132"/>
      <c r="H51" s="135"/>
      <c r="I51" s="97">
        <v>290</v>
      </c>
      <c r="J51" s="97"/>
      <c r="K51" s="97"/>
      <c r="L51" s="132"/>
      <c r="M51" s="126">
        <f t="shared" si="2"/>
        <v>290</v>
      </c>
    </row>
    <row r="52" spans="1:13" x14ac:dyDescent="0.25">
      <c r="A52" s="129" t="s">
        <v>105</v>
      </c>
      <c r="B52" s="128">
        <v>28749.200000000001</v>
      </c>
      <c r="C52" s="6">
        <v>4</v>
      </c>
      <c r="D52" s="127">
        <f t="shared" si="3"/>
        <v>1.3913430634591572E-4</v>
      </c>
      <c r="E52" s="131">
        <v>0.15</v>
      </c>
      <c r="F52" s="97">
        <f>IF(D52&lt;E52, E52*B52-C52, 0)</f>
        <v>4308.38</v>
      </c>
      <c r="G52" s="132">
        <f>IF(F52&gt;SUM(H52:L52),F52-SUM(H52:L52),0)</f>
        <v>4308.38</v>
      </c>
      <c r="H52" s="135"/>
      <c r="I52" s="97"/>
      <c r="J52" s="97"/>
      <c r="K52" s="97"/>
      <c r="L52" s="132"/>
      <c r="M52" s="126">
        <f t="shared" si="2"/>
        <v>4308.38</v>
      </c>
    </row>
    <row r="53" spans="1:13" x14ac:dyDescent="0.25">
      <c r="A53" s="129" t="s">
        <v>153</v>
      </c>
      <c r="B53" s="128">
        <v>270774.2</v>
      </c>
      <c r="C53" s="6">
        <v>24598.92</v>
      </c>
      <c r="D53" s="127">
        <f t="shared" si="3"/>
        <v>9.0846616849020317E-2</v>
      </c>
      <c r="E53" s="131"/>
      <c r="F53" s="97"/>
      <c r="G53" s="132"/>
      <c r="H53" s="135"/>
      <c r="I53" s="97"/>
      <c r="J53" s="97"/>
      <c r="K53" s="97"/>
      <c r="L53" s="136">
        <f>0.2*B53-C53-SUM(H53:K53)</f>
        <v>29555.920000000006</v>
      </c>
      <c r="M53" s="126">
        <f t="shared" si="2"/>
        <v>29555.920000000006</v>
      </c>
    </row>
    <row r="54" spans="1:13" x14ac:dyDescent="0.25">
      <c r="A54" s="129" t="s">
        <v>169</v>
      </c>
      <c r="B54" s="128">
        <v>1079901.1000000001</v>
      </c>
      <c r="C54" s="6">
        <v>140934</v>
      </c>
      <c r="D54" s="127">
        <f t="shared" si="3"/>
        <v>0.1305063954467682</v>
      </c>
      <c r="E54" s="131"/>
      <c r="F54" s="97"/>
      <c r="G54" s="132"/>
      <c r="H54" s="135"/>
      <c r="I54" s="97">
        <v>150</v>
      </c>
      <c r="J54" s="97"/>
      <c r="K54" s="97"/>
      <c r="L54" s="132"/>
      <c r="M54" s="126">
        <f t="shared" si="2"/>
        <v>150</v>
      </c>
    </row>
    <row r="55" spans="1:13" x14ac:dyDescent="0.25">
      <c r="A55" s="129" t="s">
        <v>256</v>
      </c>
      <c r="B55" s="128">
        <v>236612.1</v>
      </c>
      <c r="C55" s="6">
        <v>11716</v>
      </c>
      <c r="D55" s="127">
        <f t="shared" si="3"/>
        <v>4.9515641845873475E-2</v>
      </c>
      <c r="E55" s="131"/>
      <c r="F55" s="97"/>
      <c r="G55" s="132"/>
      <c r="H55" s="135"/>
      <c r="I55" s="97"/>
      <c r="J55" s="97"/>
      <c r="K55" s="97"/>
      <c r="L55" s="132"/>
      <c r="M55" s="126">
        <f t="shared" si="2"/>
        <v>0</v>
      </c>
    </row>
    <row r="56" spans="1:13" x14ac:dyDescent="0.25">
      <c r="A56" s="129" t="s">
        <v>170</v>
      </c>
      <c r="B56" s="128">
        <v>94238</v>
      </c>
      <c r="C56" s="6">
        <v>665</v>
      </c>
      <c r="D56" s="127">
        <f t="shared" si="3"/>
        <v>7.0566013709968374E-3</v>
      </c>
      <c r="E56" s="131"/>
      <c r="F56" s="97"/>
      <c r="G56" s="132"/>
      <c r="H56" s="135"/>
      <c r="I56" s="97"/>
      <c r="J56" s="97"/>
      <c r="K56" s="97"/>
      <c r="L56" s="132"/>
      <c r="M56" s="126">
        <f t="shared" si="2"/>
        <v>0</v>
      </c>
    </row>
    <row r="57" spans="1:13" x14ac:dyDescent="0.25">
      <c r="A57" s="129" t="s">
        <v>257</v>
      </c>
      <c r="B57" s="128">
        <v>310365.40000000002</v>
      </c>
      <c r="C57" s="6">
        <v>730</v>
      </c>
      <c r="D57" s="127">
        <f t="shared" si="3"/>
        <v>2.3520663063601806E-3</v>
      </c>
      <c r="E57" s="131"/>
      <c r="F57" s="97"/>
      <c r="G57" s="132"/>
      <c r="H57" s="135">
        <f>0.05*B57-C57</f>
        <v>14788.270000000002</v>
      </c>
      <c r="I57" s="97"/>
      <c r="J57" s="97"/>
      <c r="K57" s="97"/>
      <c r="L57" s="132"/>
      <c r="M57" s="126">
        <f t="shared" si="2"/>
        <v>14788.270000000002</v>
      </c>
    </row>
    <row r="58" spans="1:13" x14ac:dyDescent="0.25">
      <c r="A58" s="130" t="s">
        <v>14</v>
      </c>
      <c r="B58" s="128">
        <v>78827.414842185244</v>
      </c>
      <c r="C58" s="6">
        <v>0</v>
      </c>
      <c r="D58" s="127">
        <f t="shared" si="3"/>
        <v>0</v>
      </c>
      <c r="E58" s="131" t="s">
        <v>100</v>
      </c>
      <c r="F58" s="97">
        <v>3605.94</v>
      </c>
      <c r="G58" s="132">
        <f>IF(F58&gt;SUM(H58:L58),F58-SUM(H58:L58),0)</f>
        <v>0</v>
      </c>
      <c r="H58" s="135">
        <v>3605.94</v>
      </c>
      <c r="I58" s="97"/>
      <c r="J58" s="97"/>
      <c r="K58" s="97"/>
      <c r="L58" s="132"/>
      <c r="M58" s="126">
        <f t="shared" si="2"/>
        <v>3605.94</v>
      </c>
    </row>
    <row r="59" spans="1:13" x14ac:dyDescent="0.25">
      <c r="A59" s="129" t="s">
        <v>258</v>
      </c>
      <c r="B59" s="128">
        <v>36346.400000000001</v>
      </c>
      <c r="C59" s="6">
        <v>6767.21</v>
      </c>
      <c r="D59" s="127">
        <f t="shared" si="3"/>
        <v>0.18618652741399422</v>
      </c>
      <c r="E59" s="131"/>
      <c r="F59" s="97"/>
      <c r="G59" s="132"/>
      <c r="H59" s="135"/>
      <c r="I59" s="97"/>
      <c r="J59" s="97"/>
      <c r="K59" s="97"/>
      <c r="L59" s="132"/>
      <c r="M59" s="126">
        <f t="shared" si="2"/>
        <v>0</v>
      </c>
    </row>
    <row r="60" spans="1:13" ht="30" x14ac:dyDescent="0.25">
      <c r="A60" s="129" t="s">
        <v>259</v>
      </c>
      <c r="B60" s="128">
        <v>549091.6</v>
      </c>
      <c r="C60" s="6">
        <v>52</v>
      </c>
      <c r="D60" s="127">
        <f t="shared" si="3"/>
        <v>9.4701867593676548E-5</v>
      </c>
      <c r="E60" s="131"/>
      <c r="F60" s="97"/>
      <c r="G60" s="132"/>
      <c r="H60" s="135"/>
      <c r="I60" s="97"/>
      <c r="J60" s="97"/>
      <c r="K60" s="97"/>
      <c r="L60" s="132"/>
      <c r="M60" s="126">
        <f t="shared" si="2"/>
        <v>0</v>
      </c>
    </row>
    <row r="61" spans="1:13" x14ac:dyDescent="0.25">
      <c r="A61" s="129" t="s">
        <v>260</v>
      </c>
      <c r="B61" s="128">
        <v>266720.40000000002</v>
      </c>
      <c r="C61" s="6">
        <v>29</v>
      </c>
      <c r="D61" s="127">
        <f t="shared" si="3"/>
        <v>1.0872809128960514E-4</v>
      </c>
      <c r="E61" s="131"/>
      <c r="F61" s="97"/>
      <c r="G61" s="132"/>
      <c r="H61" s="135"/>
      <c r="I61" s="97"/>
      <c r="J61" s="97"/>
      <c r="K61" s="97"/>
      <c r="L61" s="132"/>
      <c r="M61" s="126">
        <f t="shared" si="2"/>
        <v>0</v>
      </c>
    </row>
    <row r="62" spans="1:13" x14ac:dyDescent="0.25">
      <c r="A62" s="129" t="s">
        <v>171</v>
      </c>
      <c r="B62" s="128">
        <v>1293034.7</v>
      </c>
      <c r="C62" s="6">
        <v>11953</v>
      </c>
      <c r="D62" s="127">
        <f t="shared" si="3"/>
        <v>9.24414480137308E-3</v>
      </c>
      <c r="E62" s="131"/>
      <c r="F62" s="97"/>
      <c r="G62" s="132"/>
      <c r="H62" s="135"/>
      <c r="I62" s="97">
        <v>55</v>
      </c>
      <c r="J62" s="97"/>
      <c r="K62" s="97">
        <f>0.3*B62-C62</f>
        <v>375957.41</v>
      </c>
      <c r="L62" s="132"/>
      <c r="M62" s="126">
        <f t="shared" si="2"/>
        <v>376012.41</v>
      </c>
    </row>
    <row r="63" spans="1:13" x14ac:dyDescent="0.25">
      <c r="A63" s="129" t="s">
        <v>109</v>
      </c>
      <c r="B63" s="128">
        <v>79467.8</v>
      </c>
      <c r="C63" s="6">
        <v>8162.57</v>
      </c>
      <c r="D63" s="127">
        <f t="shared" si="3"/>
        <v>0.10271543946101439</v>
      </c>
      <c r="E63" s="131">
        <v>0.1</v>
      </c>
      <c r="F63" s="97">
        <f>IF(D63&lt;E63, E63*B63-C63, 0)</f>
        <v>0</v>
      </c>
      <c r="G63" s="132">
        <f>IF(F63&gt;SUM(H63:L63),F63-SUM(H63:L63),0)</f>
        <v>0</v>
      </c>
      <c r="H63" s="135"/>
      <c r="I63" s="97"/>
      <c r="J63" s="97"/>
      <c r="K63" s="97"/>
      <c r="L63" s="132"/>
      <c r="M63" s="126">
        <f t="shared" si="2"/>
        <v>0</v>
      </c>
    </row>
    <row r="64" spans="1:13" x14ac:dyDescent="0.25">
      <c r="A64" s="129" t="s">
        <v>261</v>
      </c>
      <c r="B64" s="128">
        <v>343866.4</v>
      </c>
      <c r="C64" s="6">
        <v>50727.86</v>
      </c>
      <c r="D64" s="127">
        <f t="shared" si="3"/>
        <v>0.14752200273129332</v>
      </c>
      <c r="E64" s="131"/>
      <c r="F64" s="97"/>
      <c r="G64" s="132"/>
      <c r="H64" s="135"/>
      <c r="I64" s="97"/>
      <c r="J64" s="97"/>
      <c r="K64" s="97"/>
      <c r="L64" s="132"/>
      <c r="M64" s="126">
        <f t="shared" si="2"/>
        <v>0</v>
      </c>
    </row>
    <row r="65" spans="1:13" x14ac:dyDescent="0.25">
      <c r="A65" s="129" t="s">
        <v>262</v>
      </c>
      <c r="B65" s="128">
        <v>136563.79999999999</v>
      </c>
      <c r="C65" s="6">
        <v>1305.26</v>
      </c>
      <c r="D65" s="127">
        <f t="shared" si="3"/>
        <v>9.5578769776470777E-3</v>
      </c>
      <c r="E65" s="131"/>
      <c r="F65" s="97"/>
      <c r="G65" s="132"/>
      <c r="H65" s="135"/>
      <c r="I65" s="97"/>
      <c r="J65" s="97"/>
      <c r="K65" s="97"/>
      <c r="L65" s="132"/>
      <c r="M65" s="126">
        <f t="shared" si="2"/>
        <v>0</v>
      </c>
    </row>
    <row r="66" spans="1:13" x14ac:dyDescent="0.25">
      <c r="A66" s="129" t="s">
        <v>209</v>
      </c>
      <c r="B66" s="128">
        <v>4795468.0999999996</v>
      </c>
      <c r="C66" s="6">
        <v>207</v>
      </c>
      <c r="D66" s="127">
        <f t="shared" si="3"/>
        <v>4.3165754767506433E-5</v>
      </c>
      <c r="E66" s="131"/>
      <c r="F66" s="97"/>
      <c r="G66" s="132"/>
      <c r="H66" s="135"/>
      <c r="I66" s="97"/>
      <c r="J66" s="97">
        <f>B66-C66</f>
        <v>4795261.0999999996</v>
      </c>
      <c r="L66" s="132"/>
      <c r="M66" s="126">
        <f>K66+H66+I66+J66+L66</f>
        <v>4795261.0999999996</v>
      </c>
    </row>
    <row r="67" spans="1:13" ht="30" x14ac:dyDescent="0.25">
      <c r="A67" s="129" t="s">
        <v>263</v>
      </c>
      <c r="B67" s="128">
        <v>2277433</v>
      </c>
      <c r="C67" s="6">
        <v>1700907</v>
      </c>
      <c r="D67" s="127">
        <f t="shared" si="3"/>
        <v>0.7468527065340671</v>
      </c>
      <c r="E67" s="131"/>
      <c r="F67" s="97"/>
      <c r="G67" s="132"/>
      <c r="H67" s="135"/>
      <c r="I67" s="97"/>
      <c r="J67" s="97"/>
      <c r="K67" s="97"/>
      <c r="L67" s="132"/>
      <c r="M67" s="126">
        <f t="shared" ref="M67:M98" si="4">G67+H67+I67+J67+K67+L67</f>
        <v>0</v>
      </c>
    </row>
    <row r="68" spans="1:13" x14ac:dyDescent="0.25">
      <c r="A68" s="129" t="s">
        <v>37</v>
      </c>
      <c r="B68" s="128">
        <v>193292.3</v>
      </c>
      <c r="C68" s="6">
        <v>55734.7</v>
      </c>
      <c r="D68" s="127">
        <f t="shared" si="3"/>
        <v>0.28834412959026307</v>
      </c>
      <c r="E68" s="226"/>
      <c r="F68" s="97"/>
      <c r="G68" s="132"/>
      <c r="H68" s="135"/>
      <c r="I68" s="97"/>
      <c r="J68" s="97"/>
      <c r="K68" s="97"/>
      <c r="L68" s="132"/>
      <c r="M68" s="126">
        <f t="shared" si="4"/>
        <v>0</v>
      </c>
    </row>
    <row r="69" spans="1:13" x14ac:dyDescent="0.25">
      <c r="A69" s="129" t="s">
        <v>264</v>
      </c>
      <c r="B69" s="128">
        <v>22745.5</v>
      </c>
      <c r="C69" s="6">
        <v>16</v>
      </c>
      <c r="D69" s="127">
        <f t="shared" si="3"/>
        <v>7.0343584445274891E-4</v>
      </c>
      <c r="E69" s="131">
        <v>0.1</v>
      </c>
      <c r="F69" s="97">
        <f>IF(D69&lt;E69, E69*B69-C69, 0)</f>
        <v>2258.5500000000002</v>
      </c>
      <c r="G69" s="132">
        <f>IF(F69&gt;SUM(H69:L69),F69-SUM(H69:L69),0)</f>
        <v>2258.5500000000002</v>
      </c>
      <c r="H69" s="135"/>
      <c r="I69" s="97"/>
      <c r="J69" s="97"/>
      <c r="K69" s="97"/>
      <c r="L69" s="132"/>
      <c r="M69" s="126">
        <f t="shared" si="4"/>
        <v>2258.5500000000002</v>
      </c>
    </row>
    <row r="70" spans="1:13" x14ac:dyDescent="0.25">
      <c r="A70" s="129" t="s">
        <v>38</v>
      </c>
      <c r="B70" s="128">
        <v>22907</v>
      </c>
      <c r="C70" s="6">
        <v>153</v>
      </c>
      <c r="D70" s="127">
        <f t="shared" si="3"/>
        <v>6.6791810363644299E-3</v>
      </c>
      <c r="E70" s="133">
        <v>2.5000000000000001E-2</v>
      </c>
      <c r="F70" s="97">
        <f>IF(D70&lt;E70, E70*B70-C70, 0)</f>
        <v>419.67500000000007</v>
      </c>
      <c r="G70" s="132">
        <f>IF(F70&gt;SUM(H70:L70),F70-SUM(H70:L70),0)</f>
        <v>419.67500000000007</v>
      </c>
      <c r="H70" s="135"/>
      <c r="I70" s="97"/>
      <c r="J70" s="97"/>
      <c r="K70" s="97"/>
      <c r="L70" s="132"/>
      <c r="M70" s="126">
        <f t="shared" si="4"/>
        <v>419.67500000000007</v>
      </c>
    </row>
    <row r="71" spans="1:13" x14ac:dyDescent="0.25">
      <c r="A71" s="129" t="s">
        <v>265</v>
      </c>
      <c r="B71" s="128">
        <v>56357.9</v>
      </c>
      <c r="C71" s="6">
        <v>25560.92</v>
      </c>
      <c r="D71" s="127">
        <f t="shared" si="3"/>
        <v>0.45354635286268646</v>
      </c>
      <c r="E71" s="131"/>
      <c r="F71" s="97"/>
      <c r="G71" s="132"/>
      <c r="H71" s="135"/>
      <c r="I71" s="97"/>
      <c r="J71" s="97"/>
      <c r="K71" s="97"/>
      <c r="L71" s="132"/>
      <c r="M71" s="126">
        <f t="shared" si="4"/>
        <v>0</v>
      </c>
    </row>
    <row r="72" spans="1:13" x14ac:dyDescent="0.25">
      <c r="A72" s="129" t="s">
        <v>266</v>
      </c>
      <c r="B72" s="128">
        <v>226758.6</v>
      </c>
      <c r="C72" s="6">
        <v>210</v>
      </c>
      <c r="D72" s="127">
        <f t="shared" ref="D72:D103" si="5">C72/B72</f>
        <v>9.2609497500866563E-4</v>
      </c>
      <c r="E72" s="131"/>
      <c r="F72" s="97"/>
      <c r="G72" s="132"/>
      <c r="H72" s="135"/>
      <c r="I72" s="97"/>
      <c r="J72" s="97"/>
      <c r="K72" s="97"/>
      <c r="L72" s="132"/>
      <c r="M72" s="126">
        <f t="shared" si="4"/>
        <v>0</v>
      </c>
    </row>
    <row r="73" spans="1:13" x14ac:dyDescent="0.25">
      <c r="A73" s="129" t="s">
        <v>267</v>
      </c>
      <c r="B73" s="128">
        <v>426.7</v>
      </c>
      <c r="C73" s="6">
        <v>55</v>
      </c>
      <c r="D73" s="127">
        <f t="shared" si="5"/>
        <v>0.12889617998593861</v>
      </c>
      <c r="E73" s="131"/>
      <c r="F73" s="97"/>
      <c r="G73" s="132"/>
      <c r="H73" s="135"/>
      <c r="I73" s="97"/>
      <c r="J73" s="97"/>
      <c r="K73" s="97"/>
      <c r="L73" s="132"/>
      <c r="M73" s="126">
        <f t="shared" si="4"/>
        <v>0</v>
      </c>
    </row>
    <row r="74" spans="1:13" x14ac:dyDescent="0.25">
      <c r="A74" s="129" t="s">
        <v>268</v>
      </c>
      <c r="B74" s="128">
        <v>494172.5</v>
      </c>
      <c r="C74" s="6">
        <v>7201.36</v>
      </c>
      <c r="D74" s="127">
        <f t="shared" si="5"/>
        <v>1.457256322438015E-2</v>
      </c>
      <c r="E74" s="131"/>
      <c r="F74" s="97"/>
      <c r="G74" s="132"/>
      <c r="H74" s="135"/>
      <c r="I74" s="97"/>
      <c r="J74" s="97">
        <f>0.2*B74-C74</f>
        <v>91633.14</v>
      </c>
      <c r="K74" s="97"/>
      <c r="L74" s="132"/>
      <c r="M74" s="126">
        <f t="shared" si="4"/>
        <v>91633.14</v>
      </c>
    </row>
    <row r="75" spans="1:13" x14ac:dyDescent="0.25">
      <c r="A75" s="129" t="s">
        <v>269</v>
      </c>
      <c r="B75" s="128">
        <v>2264467.1</v>
      </c>
      <c r="C75" s="6">
        <v>102325</v>
      </c>
      <c r="D75" s="127">
        <f t="shared" si="5"/>
        <v>4.51872319098829E-2</v>
      </c>
      <c r="E75" s="131"/>
      <c r="F75" s="97"/>
      <c r="G75" s="132"/>
      <c r="H75" s="135"/>
      <c r="I75" s="97"/>
      <c r="J75" s="97"/>
      <c r="K75" s="97"/>
      <c r="L75" s="132"/>
      <c r="M75" s="126">
        <f t="shared" si="4"/>
        <v>0</v>
      </c>
    </row>
    <row r="76" spans="1:13" x14ac:dyDescent="0.25">
      <c r="A76" s="129" t="s">
        <v>113</v>
      </c>
      <c r="B76" s="128">
        <v>26281.5</v>
      </c>
      <c r="C76" s="6">
        <v>11</v>
      </c>
      <c r="D76" s="127">
        <f t="shared" si="5"/>
        <v>4.1854536461008695E-4</v>
      </c>
      <c r="E76" s="131" t="s">
        <v>100</v>
      </c>
      <c r="F76" s="97">
        <v>11</v>
      </c>
      <c r="G76" s="132">
        <f>IF(F76&gt;SUM(H76:L76),F76-SUM(H76:L76),0)</f>
        <v>0</v>
      </c>
      <c r="H76" s="135"/>
      <c r="I76" s="97">
        <v>114</v>
      </c>
      <c r="J76" s="139">
        <f>4658.13/4-11</f>
        <v>1153.5325</v>
      </c>
      <c r="K76" s="97"/>
      <c r="L76" s="136">
        <f>0.2*B76-C76-SUM(H76:K76)</f>
        <v>3977.7674999999999</v>
      </c>
      <c r="M76" s="126">
        <f t="shared" si="4"/>
        <v>5245.3</v>
      </c>
    </row>
    <row r="77" spans="1:13" x14ac:dyDescent="0.25">
      <c r="A77" s="129" t="s">
        <v>270</v>
      </c>
      <c r="B77" s="128">
        <v>91039.1</v>
      </c>
      <c r="C77" s="6">
        <v>90961</v>
      </c>
      <c r="D77" s="127">
        <f t="shared" si="5"/>
        <v>0.99914212684439974</v>
      </c>
      <c r="E77" s="131"/>
      <c r="F77" s="97"/>
      <c r="G77" s="132"/>
      <c r="H77" s="135"/>
      <c r="I77" s="97"/>
      <c r="J77" s="97"/>
      <c r="K77" s="97"/>
      <c r="L77" s="132"/>
      <c r="M77" s="126">
        <f t="shared" si="4"/>
        <v>0</v>
      </c>
    </row>
    <row r="78" spans="1:13" x14ac:dyDescent="0.25">
      <c r="A78" s="129" t="s">
        <v>148</v>
      </c>
      <c r="B78" s="128">
        <v>202535.1</v>
      </c>
      <c r="C78" s="6">
        <v>18</v>
      </c>
      <c r="D78" s="127">
        <f t="shared" si="5"/>
        <v>8.8873484151635938E-5</v>
      </c>
      <c r="E78" s="131"/>
      <c r="F78" s="97"/>
      <c r="G78" s="132"/>
      <c r="H78" s="135"/>
      <c r="I78" s="97"/>
      <c r="J78" s="97"/>
      <c r="K78" s="97"/>
      <c r="L78" s="138">
        <v>1361.2466272111046</v>
      </c>
      <c r="M78" s="126">
        <f t="shared" si="4"/>
        <v>1361.2466272111046</v>
      </c>
    </row>
    <row r="79" spans="1:13" x14ac:dyDescent="0.25">
      <c r="A79" s="129" t="s">
        <v>172</v>
      </c>
      <c r="B79" s="128">
        <v>118336.4</v>
      </c>
      <c r="C79" s="6">
        <v>956</v>
      </c>
      <c r="D79" s="127">
        <f t="shared" si="5"/>
        <v>8.0786638768798116E-3</v>
      </c>
      <c r="E79" s="131"/>
      <c r="F79" s="97"/>
      <c r="G79" s="132"/>
      <c r="H79" s="135">
        <f>(164297.4-7042.44)/100</f>
        <v>1572.5495999999998</v>
      </c>
      <c r="I79" s="97">
        <v>2138</v>
      </c>
      <c r="J79" s="97"/>
      <c r="K79" s="97"/>
      <c r="L79" s="132"/>
      <c r="M79" s="126">
        <f t="shared" si="4"/>
        <v>3710.5495999999998</v>
      </c>
    </row>
    <row r="80" spans="1:13" x14ac:dyDescent="0.25">
      <c r="A80" s="129" t="s">
        <v>271</v>
      </c>
      <c r="B80" s="128">
        <v>8672.7000000000007</v>
      </c>
      <c r="C80" s="6">
        <v>33.479999999999997</v>
      </c>
      <c r="D80" s="127">
        <f t="shared" si="5"/>
        <v>3.8603894980801818E-3</v>
      </c>
      <c r="E80" s="131"/>
      <c r="F80" s="97"/>
      <c r="G80" s="132"/>
      <c r="H80" s="135"/>
      <c r="I80" s="97"/>
      <c r="J80" s="97"/>
      <c r="K80" s="97"/>
      <c r="L80" s="132"/>
      <c r="M80" s="126">
        <f t="shared" si="4"/>
        <v>0</v>
      </c>
    </row>
    <row r="81" spans="1:13" x14ac:dyDescent="0.25">
      <c r="A81" s="129" t="s">
        <v>115</v>
      </c>
      <c r="B81" s="128">
        <v>110136.3</v>
      </c>
      <c r="C81" s="6">
        <v>583.25</v>
      </c>
      <c r="D81" s="127">
        <f t="shared" si="5"/>
        <v>5.2957108600888174E-3</v>
      </c>
      <c r="E81" s="131" t="s">
        <v>100</v>
      </c>
      <c r="F81" s="97">
        <f>9659-C81</f>
        <v>9075.75</v>
      </c>
      <c r="G81" s="132">
        <f>IF(F81&gt;SUM(H81:L81),F81-SUM(H81:L81),0)</f>
        <v>9075.75</v>
      </c>
      <c r="H81" s="135"/>
      <c r="I81" s="97"/>
      <c r="J81" s="97"/>
      <c r="K81" s="97"/>
      <c r="L81" s="132"/>
      <c r="M81" s="126">
        <f t="shared" si="4"/>
        <v>9075.75</v>
      </c>
    </row>
    <row r="82" spans="1:13" x14ac:dyDescent="0.25">
      <c r="A82" s="129" t="s">
        <v>272</v>
      </c>
      <c r="B82" s="128">
        <v>106506.6</v>
      </c>
      <c r="C82" s="6">
        <v>10661</v>
      </c>
      <c r="D82" s="127">
        <f t="shared" si="5"/>
        <v>0.10009708318545517</v>
      </c>
      <c r="E82" s="131"/>
      <c r="F82" s="97"/>
      <c r="G82" s="132"/>
      <c r="H82" s="135"/>
      <c r="I82" s="97"/>
      <c r="J82" s="97"/>
      <c r="K82" s="97"/>
      <c r="L82" s="132"/>
      <c r="M82" s="126">
        <f t="shared" si="4"/>
        <v>0</v>
      </c>
    </row>
    <row r="83" spans="1:13" x14ac:dyDescent="0.25">
      <c r="A83" s="129" t="s">
        <v>273</v>
      </c>
      <c r="B83" s="128">
        <v>136910</v>
      </c>
      <c r="C83" s="6">
        <v>17</v>
      </c>
      <c r="D83" s="127">
        <f t="shared" si="5"/>
        <v>1.241691622233584E-4</v>
      </c>
      <c r="E83" s="131"/>
      <c r="F83" s="97"/>
      <c r="G83" s="132"/>
      <c r="H83" s="135"/>
      <c r="I83" s="97"/>
      <c r="J83" s="97"/>
      <c r="K83" s="97"/>
      <c r="L83" s="132"/>
      <c r="M83" s="126">
        <f t="shared" si="4"/>
        <v>0</v>
      </c>
    </row>
    <row r="84" spans="1:13" x14ac:dyDescent="0.25">
      <c r="A84" s="130" t="s">
        <v>173</v>
      </c>
      <c r="B84" s="128">
        <v>123867.21883587541</v>
      </c>
      <c r="C84" s="6">
        <v>0</v>
      </c>
      <c r="D84" s="127">
        <f t="shared" si="5"/>
        <v>0</v>
      </c>
      <c r="E84" s="131"/>
      <c r="F84" s="97"/>
      <c r="G84" s="132"/>
      <c r="H84" s="135"/>
      <c r="I84" s="97">
        <v>1100</v>
      </c>
      <c r="J84" s="97"/>
      <c r="K84" s="97"/>
      <c r="L84" s="132"/>
      <c r="M84" s="126">
        <f t="shared" si="4"/>
        <v>1100</v>
      </c>
    </row>
    <row r="85" spans="1:13" ht="30" x14ac:dyDescent="0.25">
      <c r="A85" s="129" t="s">
        <v>274</v>
      </c>
      <c r="B85" s="128">
        <v>416111</v>
      </c>
      <c r="C85" s="6">
        <v>64169</v>
      </c>
      <c r="D85" s="127">
        <f t="shared" si="5"/>
        <v>0.15421125613117653</v>
      </c>
      <c r="E85" s="131"/>
      <c r="F85" s="97"/>
      <c r="G85" s="132"/>
      <c r="H85" s="135"/>
      <c r="I85" s="97"/>
      <c r="J85" s="97"/>
      <c r="K85" s="97"/>
      <c r="L85" s="132"/>
      <c r="M85" s="126">
        <f t="shared" si="4"/>
        <v>0</v>
      </c>
    </row>
    <row r="86" spans="1:13" x14ac:dyDescent="0.25">
      <c r="A86" s="129" t="s">
        <v>40</v>
      </c>
      <c r="B86" s="128">
        <v>219971.20000000001</v>
      </c>
      <c r="C86" s="6">
        <v>9201</v>
      </c>
      <c r="D86" s="127">
        <f t="shared" si="5"/>
        <v>4.1828202964751746E-2</v>
      </c>
      <c r="E86" s="131"/>
      <c r="F86" s="97"/>
      <c r="G86" s="132"/>
      <c r="H86" s="135"/>
      <c r="I86" s="97">
        <v>2777</v>
      </c>
      <c r="J86" s="97"/>
      <c r="K86" s="97"/>
      <c r="L86" s="132"/>
      <c r="M86" s="126">
        <f t="shared" si="4"/>
        <v>2777</v>
      </c>
    </row>
    <row r="87" spans="1:13" x14ac:dyDescent="0.25">
      <c r="A87" s="129" t="s">
        <v>275</v>
      </c>
      <c r="B87" s="128">
        <v>752783.5</v>
      </c>
      <c r="C87" s="6">
        <v>2863</v>
      </c>
      <c r="D87" s="127">
        <f t="shared" si="5"/>
        <v>3.8032183223994679E-3</v>
      </c>
      <c r="E87" s="131"/>
      <c r="F87" s="97"/>
      <c r="G87" s="132"/>
      <c r="H87" s="135"/>
      <c r="I87" s="97"/>
      <c r="J87" s="97"/>
      <c r="K87" s="97"/>
      <c r="L87" s="132"/>
      <c r="M87" s="126">
        <f t="shared" si="4"/>
        <v>0</v>
      </c>
    </row>
    <row r="88" spans="1:13" x14ac:dyDescent="0.25">
      <c r="A88" s="129" t="s">
        <v>16</v>
      </c>
      <c r="B88" s="128">
        <v>2301226.5</v>
      </c>
      <c r="C88" s="6">
        <v>3928</v>
      </c>
      <c r="D88" s="127">
        <f t="shared" si="5"/>
        <v>1.7069158555231309E-3</v>
      </c>
      <c r="E88" s="131"/>
      <c r="F88" s="97"/>
      <c r="G88" s="132"/>
      <c r="H88" s="135">
        <v>5000</v>
      </c>
      <c r="I88" s="97"/>
      <c r="J88" s="97"/>
      <c r="K88" s="97"/>
      <c r="L88" s="132"/>
      <c r="M88" s="126">
        <f t="shared" si="4"/>
        <v>5000</v>
      </c>
    </row>
    <row r="89" spans="1:13" x14ac:dyDescent="0.25">
      <c r="A89" s="129" t="s">
        <v>41</v>
      </c>
      <c r="B89" s="128">
        <v>5947954.2000000002</v>
      </c>
      <c r="C89" s="6">
        <v>171453</v>
      </c>
      <c r="D89" s="127">
        <f t="shared" si="5"/>
        <v>2.8825541393711469E-2</v>
      </c>
      <c r="E89" s="131"/>
      <c r="F89" s="97"/>
      <c r="G89" s="132"/>
      <c r="H89" s="135"/>
      <c r="I89" s="7">
        <v>22333</v>
      </c>
      <c r="J89" s="161">
        <f>43000-I89</f>
        <v>20667</v>
      </c>
      <c r="K89" s="97"/>
      <c r="L89" s="132"/>
      <c r="M89" s="126">
        <f t="shared" si="4"/>
        <v>43000</v>
      </c>
    </row>
    <row r="90" spans="1:13" ht="30" x14ac:dyDescent="0.25">
      <c r="A90" s="129" t="s">
        <v>276</v>
      </c>
      <c r="B90" s="128">
        <v>224800.6</v>
      </c>
      <c r="C90" s="6">
        <v>1809</v>
      </c>
      <c r="D90" s="127">
        <f t="shared" si="5"/>
        <v>8.0471315468019205E-3</v>
      </c>
      <c r="E90" s="131"/>
      <c r="F90" s="97"/>
      <c r="G90" s="132"/>
      <c r="H90" s="135"/>
      <c r="I90" s="97"/>
      <c r="J90" s="97"/>
      <c r="K90" s="97"/>
      <c r="L90" s="132"/>
      <c r="M90" s="126">
        <f t="shared" si="4"/>
        <v>0</v>
      </c>
    </row>
    <row r="91" spans="1:13" x14ac:dyDescent="0.25">
      <c r="A91" s="130" t="s">
        <v>277</v>
      </c>
      <c r="B91" s="128">
        <v>595.82736209780637</v>
      </c>
      <c r="C91" s="6">
        <v>0</v>
      </c>
      <c r="D91" s="127">
        <f t="shared" si="5"/>
        <v>0</v>
      </c>
      <c r="E91" s="131"/>
      <c r="F91" s="97"/>
      <c r="G91" s="132"/>
      <c r="H91" s="135"/>
      <c r="I91" s="97"/>
      <c r="J91" s="97"/>
      <c r="K91" s="97"/>
      <c r="L91" s="132"/>
      <c r="M91" s="126">
        <f t="shared" si="4"/>
        <v>0</v>
      </c>
    </row>
    <row r="92" spans="1:13" x14ac:dyDescent="0.25">
      <c r="A92" s="129" t="s">
        <v>278</v>
      </c>
      <c r="B92" s="128">
        <v>426441.7</v>
      </c>
      <c r="C92" s="6">
        <v>9945.9</v>
      </c>
      <c r="D92" s="127">
        <f t="shared" si="5"/>
        <v>2.3323000541457365E-2</v>
      </c>
      <c r="E92" s="131"/>
      <c r="F92" s="97"/>
      <c r="G92" s="132"/>
      <c r="H92" s="135"/>
      <c r="I92" s="97"/>
      <c r="J92" s="97"/>
      <c r="K92" s="97"/>
      <c r="L92" s="132"/>
      <c r="M92" s="126">
        <f t="shared" si="4"/>
        <v>0</v>
      </c>
    </row>
    <row r="93" spans="1:13" x14ac:dyDescent="0.25">
      <c r="A93" s="129" t="s">
        <v>279</v>
      </c>
      <c r="B93" s="128">
        <v>27855</v>
      </c>
      <c r="C93" s="6">
        <v>9</v>
      </c>
      <c r="D93" s="127">
        <f t="shared" si="5"/>
        <v>3.2310177705977385E-4</v>
      </c>
      <c r="E93" s="131"/>
      <c r="F93" s="97"/>
      <c r="G93" s="132"/>
      <c r="H93" s="135"/>
      <c r="I93" s="97"/>
      <c r="J93" s="97"/>
      <c r="K93" s="97"/>
      <c r="L93" s="132"/>
      <c r="M93" s="126">
        <f t="shared" si="4"/>
        <v>0</v>
      </c>
    </row>
    <row r="94" spans="1:13" x14ac:dyDescent="0.25">
      <c r="A94" s="129" t="s">
        <v>280</v>
      </c>
      <c r="B94" s="128">
        <v>538881</v>
      </c>
      <c r="C94" s="6">
        <v>30033.35</v>
      </c>
      <c r="D94" s="127">
        <f t="shared" si="5"/>
        <v>5.5732805573030036E-2</v>
      </c>
      <c r="E94" s="131"/>
      <c r="F94" s="97"/>
      <c r="G94" s="132"/>
      <c r="H94" s="135"/>
      <c r="I94" s="97"/>
      <c r="J94" s="97"/>
      <c r="K94" s="97"/>
      <c r="L94" s="132"/>
      <c r="M94" s="126">
        <f t="shared" si="4"/>
        <v>0</v>
      </c>
    </row>
    <row r="95" spans="1:13" x14ac:dyDescent="0.25">
      <c r="A95" s="129" t="s">
        <v>116</v>
      </c>
      <c r="B95" s="128">
        <v>246488.5</v>
      </c>
      <c r="C95" s="6">
        <v>1860</v>
      </c>
      <c r="D95" s="127">
        <f t="shared" si="5"/>
        <v>7.545990989437641E-3</v>
      </c>
      <c r="E95" s="131">
        <v>0.1</v>
      </c>
      <c r="F95" s="97">
        <f>IF(D95&lt;E95, E95*B95-C95, 0)</f>
        <v>22788.850000000002</v>
      </c>
      <c r="G95" s="132">
        <f>IF(F95&gt;SUM(H95:K95),F95-SUM(H95:K95),0)</f>
        <v>14748.850000000002</v>
      </c>
      <c r="H95" s="135"/>
      <c r="I95" s="97"/>
      <c r="J95" s="97">
        <v>8040</v>
      </c>
      <c r="K95" s="97"/>
      <c r="L95" s="136">
        <f>0.2*B95-C95-SUM(G95:K95)</f>
        <v>24648.850000000002</v>
      </c>
      <c r="M95" s="126">
        <f t="shared" si="4"/>
        <v>47437.700000000004</v>
      </c>
    </row>
    <row r="96" spans="1:13" x14ac:dyDescent="0.25">
      <c r="A96" s="129" t="s">
        <v>118</v>
      </c>
      <c r="B96" s="128">
        <v>4040612.3</v>
      </c>
      <c r="C96" s="6">
        <v>19940.099999999999</v>
      </c>
      <c r="D96" s="127">
        <f t="shared" si="5"/>
        <v>4.9349203832300369E-3</v>
      </c>
      <c r="E96" s="131">
        <v>0.1</v>
      </c>
      <c r="F96" s="97">
        <f>IF(D96&lt;E96, E96*B96-C96, 0)</f>
        <v>384121.13</v>
      </c>
      <c r="G96" s="132">
        <f>IF(F96&gt;SUM(H96:L96),F96-SUM(H96:L96),0)</f>
        <v>384121.13</v>
      </c>
      <c r="H96" s="135"/>
      <c r="I96" s="97"/>
      <c r="J96" s="97"/>
      <c r="K96" s="97"/>
      <c r="L96" s="132"/>
      <c r="M96" s="126">
        <f t="shared" si="4"/>
        <v>384121.13</v>
      </c>
    </row>
    <row r="97" spans="1:13" x14ac:dyDescent="0.25">
      <c r="A97" s="129" t="s">
        <v>281</v>
      </c>
      <c r="B97" s="128">
        <v>2962.1</v>
      </c>
      <c r="C97" s="6">
        <v>185.03</v>
      </c>
      <c r="D97" s="127">
        <f t="shared" si="5"/>
        <v>6.246581816954188E-2</v>
      </c>
      <c r="E97" s="131"/>
      <c r="F97" s="97"/>
      <c r="G97" s="132"/>
      <c r="H97" s="135"/>
      <c r="I97" s="97"/>
      <c r="J97" s="97"/>
      <c r="K97" s="97"/>
      <c r="L97" s="132"/>
      <c r="M97" s="126">
        <f t="shared" si="4"/>
        <v>0</v>
      </c>
    </row>
    <row r="98" spans="1:13" x14ac:dyDescent="0.25">
      <c r="A98" s="129" t="s">
        <v>119</v>
      </c>
      <c r="B98" s="128">
        <v>93.7</v>
      </c>
      <c r="C98" s="6">
        <v>0</v>
      </c>
      <c r="D98" s="127">
        <f t="shared" si="5"/>
        <v>0</v>
      </c>
      <c r="E98" s="131">
        <v>0.1</v>
      </c>
      <c r="F98" s="97">
        <f>IF(D98&lt;E98, E98*B98-C98, 0)</f>
        <v>9.370000000000001</v>
      </c>
      <c r="G98" s="132">
        <f>IF(F98&gt;SUM(H98:L98),F98-SUM(H98:L98),0)</f>
        <v>9.370000000000001</v>
      </c>
      <c r="H98" s="135"/>
      <c r="I98" s="97"/>
      <c r="J98" s="97"/>
      <c r="K98" s="97"/>
      <c r="L98" s="132"/>
      <c r="M98" s="126">
        <f t="shared" si="4"/>
        <v>9.370000000000001</v>
      </c>
    </row>
    <row r="99" spans="1:13" x14ac:dyDescent="0.25">
      <c r="A99" s="129" t="s">
        <v>282</v>
      </c>
      <c r="B99" s="128">
        <v>119085</v>
      </c>
      <c r="C99" s="6">
        <v>1250</v>
      </c>
      <c r="D99" s="127">
        <f t="shared" si="5"/>
        <v>1.0496704034933031E-2</v>
      </c>
      <c r="E99" s="131"/>
      <c r="F99" s="97"/>
      <c r="G99" s="132"/>
      <c r="H99" s="135"/>
      <c r="I99" s="97"/>
      <c r="J99" s="97"/>
      <c r="K99" s="97"/>
      <c r="L99" s="132"/>
      <c r="M99" s="126">
        <f t="shared" ref="M99:M130" si="6">G99+H99+I99+J99+K99+L99</f>
        <v>0</v>
      </c>
    </row>
    <row r="100" spans="1:13" x14ac:dyDescent="0.25">
      <c r="A100" s="129" t="s">
        <v>283</v>
      </c>
      <c r="B100" s="128">
        <v>112400.4</v>
      </c>
      <c r="C100" s="6">
        <v>904</v>
      </c>
      <c r="D100" s="127">
        <f t="shared" si="5"/>
        <v>8.0426760047117279E-3</v>
      </c>
      <c r="E100" s="131"/>
      <c r="F100" s="97"/>
      <c r="G100" s="132"/>
      <c r="H100" s="135"/>
      <c r="J100" s="97"/>
      <c r="K100" s="97"/>
      <c r="L100" s="132"/>
      <c r="M100" s="126">
        <f t="shared" si="6"/>
        <v>0</v>
      </c>
    </row>
    <row r="101" spans="1:13" x14ac:dyDescent="0.25">
      <c r="A101" s="129" t="s">
        <v>174</v>
      </c>
      <c r="B101" s="128">
        <v>3459130.4</v>
      </c>
      <c r="C101" s="6">
        <v>408796.46</v>
      </c>
      <c r="D101" s="127">
        <f t="shared" si="5"/>
        <v>0.1181789677544391</v>
      </c>
      <c r="E101" s="131"/>
      <c r="F101" s="97"/>
      <c r="G101" s="132"/>
      <c r="H101" s="135"/>
      <c r="I101" s="97">
        <v>271108</v>
      </c>
      <c r="J101" s="97"/>
      <c r="K101" s="97"/>
      <c r="L101" s="132"/>
      <c r="M101" s="126">
        <f t="shared" si="6"/>
        <v>271108</v>
      </c>
    </row>
    <row r="102" spans="1:13" x14ac:dyDescent="0.25">
      <c r="A102" s="129" t="s">
        <v>17</v>
      </c>
      <c r="B102" s="128">
        <v>11895.8</v>
      </c>
      <c r="C102" s="6">
        <v>176</v>
      </c>
      <c r="D102" s="127">
        <f t="shared" si="5"/>
        <v>1.4795137779720574E-2</v>
      </c>
      <c r="E102" s="131"/>
      <c r="F102" s="97"/>
      <c r="G102" s="132"/>
      <c r="H102" s="135">
        <f>273-163.3</f>
        <v>109.69999999999999</v>
      </c>
      <c r="I102" s="97"/>
      <c r="J102" s="97"/>
      <c r="K102" s="97"/>
      <c r="L102" s="132"/>
      <c r="M102" s="126">
        <f t="shared" si="6"/>
        <v>109.69999999999999</v>
      </c>
    </row>
    <row r="103" spans="1:13" x14ac:dyDescent="0.25">
      <c r="A103" s="129" t="s">
        <v>284</v>
      </c>
      <c r="B103" s="128">
        <v>28879.599999999999</v>
      </c>
      <c r="C103" s="6">
        <v>4631.3</v>
      </c>
      <c r="D103" s="127">
        <f t="shared" si="5"/>
        <v>0.16036579454009059</v>
      </c>
      <c r="E103" s="131"/>
      <c r="F103" s="97"/>
      <c r="G103" s="132"/>
      <c r="H103" s="135"/>
      <c r="I103" s="97"/>
      <c r="J103" s="97"/>
      <c r="K103" s="97"/>
      <c r="L103" s="132"/>
      <c r="M103" s="126">
        <f t="shared" si="6"/>
        <v>0</v>
      </c>
    </row>
    <row r="104" spans="1:13" x14ac:dyDescent="0.25">
      <c r="A104" s="129" t="s">
        <v>18</v>
      </c>
      <c r="B104" s="128">
        <v>19315.8</v>
      </c>
      <c r="C104" s="6">
        <v>41</v>
      </c>
      <c r="D104" s="127">
        <f t="shared" ref="D104:D115" si="7">C104/B104</f>
        <v>2.1226146470764867E-3</v>
      </c>
      <c r="E104" s="131"/>
      <c r="F104" s="97"/>
      <c r="G104" s="132"/>
      <c r="H104" s="135">
        <f>0.1*B104-C104</f>
        <v>1890.58</v>
      </c>
      <c r="I104" s="97"/>
      <c r="J104" s="97"/>
      <c r="K104" s="97"/>
      <c r="L104" s="132"/>
      <c r="M104" s="126">
        <f t="shared" si="6"/>
        <v>1890.58</v>
      </c>
    </row>
    <row r="105" spans="1:13" x14ac:dyDescent="0.25">
      <c r="A105" s="129" t="s">
        <v>19</v>
      </c>
      <c r="B105" s="128">
        <v>247767.7</v>
      </c>
      <c r="C105" s="6">
        <v>256.05</v>
      </c>
      <c r="D105" s="127">
        <f t="shared" si="7"/>
        <v>1.0334276824622418E-3</v>
      </c>
      <c r="E105" s="131"/>
      <c r="F105" s="97"/>
      <c r="G105" s="132"/>
      <c r="H105" s="135">
        <f>0.05*B105-C105</f>
        <v>12132.335000000003</v>
      </c>
      <c r="I105" s="97"/>
      <c r="J105" s="97"/>
      <c r="K105" s="97"/>
      <c r="L105" s="132"/>
      <c r="M105" s="126">
        <f t="shared" si="6"/>
        <v>12132.335000000003</v>
      </c>
    </row>
    <row r="106" spans="1:13" x14ac:dyDescent="0.25">
      <c r="A106" s="129" t="s">
        <v>285</v>
      </c>
      <c r="B106" s="128">
        <v>357895.3</v>
      </c>
      <c r="C106" s="6">
        <v>2278</v>
      </c>
      <c r="D106" s="127">
        <f t="shared" si="7"/>
        <v>6.3649899845010542E-3</v>
      </c>
      <c r="E106" s="131"/>
      <c r="F106" s="97"/>
      <c r="G106" s="132"/>
      <c r="H106" s="135"/>
      <c r="I106" s="97"/>
      <c r="J106" s="97"/>
      <c r="K106" s="97"/>
      <c r="L106" s="132"/>
      <c r="M106" s="126">
        <f t="shared" si="6"/>
        <v>0</v>
      </c>
    </row>
    <row r="107" spans="1:13" x14ac:dyDescent="0.25">
      <c r="A107" s="129" t="s">
        <v>286</v>
      </c>
      <c r="B107" s="128">
        <v>6125.7</v>
      </c>
      <c r="C107" s="6">
        <v>1567.71</v>
      </c>
      <c r="D107" s="127">
        <f t="shared" si="7"/>
        <v>0.2559234046721191</v>
      </c>
      <c r="E107" s="131"/>
      <c r="F107" s="97"/>
      <c r="G107" s="132"/>
      <c r="H107" s="135"/>
      <c r="I107" s="97"/>
      <c r="J107" s="97"/>
      <c r="K107" s="97"/>
      <c r="L107" s="132"/>
      <c r="M107" s="126">
        <f t="shared" si="6"/>
        <v>0</v>
      </c>
    </row>
    <row r="108" spans="1:13" x14ac:dyDescent="0.25">
      <c r="A108" s="129" t="s">
        <v>44</v>
      </c>
      <c r="B108" s="128">
        <v>1205824.8</v>
      </c>
      <c r="C108" s="6">
        <v>5345.76</v>
      </c>
      <c r="D108" s="127">
        <f t="shared" si="7"/>
        <v>4.4332808547311352E-3</v>
      </c>
      <c r="E108" s="131"/>
      <c r="F108" s="97"/>
      <c r="G108" s="132"/>
      <c r="H108" s="135"/>
      <c r="I108" s="97">
        <v>2970</v>
      </c>
      <c r="J108" s="97"/>
      <c r="K108" s="97"/>
      <c r="L108" s="132"/>
      <c r="M108" s="126">
        <f t="shared" si="6"/>
        <v>2970</v>
      </c>
    </row>
    <row r="109" spans="1:13" x14ac:dyDescent="0.25">
      <c r="A109" s="129" t="s">
        <v>287</v>
      </c>
      <c r="B109" s="128">
        <v>451741.5</v>
      </c>
      <c r="C109" s="6">
        <v>6357.44</v>
      </c>
      <c r="D109" s="127">
        <f t="shared" si="7"/>
        <v>1.4073181233072453E-2</v>
      </c>
      <c r="E109" s="131"/>
      <c r="F109" s="97"/>
      <c r="G109" s="132"/>
      <c r="H109" s="135">
        <v>9000</v>
      </c>
      <c r="I109" s="97"/>
      <c r="J109" s="97"/>
      <c r="K109" s="97"/>
      <c r="L109" s="132"/>
      <c r="M109" s="126">
        <f t="shared" si="6"/>
        <v>9000</v>
      </c>
    </row>
    <row r="110" spans="1:13" x14ac:dyDescent="0.25">
      <c r="A110" s="129" t="s">
        <v>288</v>
      </c>
      <c r="B110" s="128">
        <v>922110</v>
      </c>
      <c r="C110" s="6">
        <v>449</v>
      </c>
      <c r="D110" s="127">
        <f t="shared" si="7"/>
        <v>4.8692672240838945E-4</v>
      </c>
      <c r="E110" s="131"/>
      <c r="F110" s="97"/>
      <c r="G110" s="132"/>
      <c r="H110" s="135"/>
      <c r="I110" s="97"/>
      <c r="J110" s="97"/>
      <c r="K110" s="97"/>
      <c r="L110" s="132"/>
      <c r="M110" s="126">
        <f t="shared" si="6"/>
        <v>0</v>
      </c>
    </row>
    <row r="111" spans="1:13" x14ac:dyDescent="0.25">
      <c r="A111" s="129" t="s">
        <v>289</v>
      </c>
      <c r="B111" s="128">
        <v>55696.7</v>
      </c>
      <c r="C111" s="6">
        <v>3489.53</v>
      </c>
      <c r="D111" s="127">
        <f t="shared" si="7"/>
        <v>6.2652365400463594E-2</v>
      </c>
      <c r="E111" s="131"/>
      <c r="F111" s="97"/>
      <c r="G111" s="132"/>
      <c r="H111" s="135"/>
      <c r="I111" s="97"/>
      <c r="J111" s="97"/>
      <c r="K111" s="97"/>
      <c r="L111" s="132"/>
      <c r="M111" s="126">
        <f t="shared" si="6"/>
        <v>0</v>
      </c>
    </row>
    <row r="112" spans="1:13" x14ac:dyDescent="0.25">
      <c r="A112" s="129" t="s">
        <v>182</v>
      </c>
      <c r="B112" s="128">
        <v>2004587.3</v>
      </c>
      <c r="C112" s="6">
        <v>5388</v>
      </c>
      <c r="D112" s="127">
        <f t="shared" si="7"/>
        <v>2.687835047144118E-3</v>
      </c>
      <c r="E112" s="131"/>
      <c r="F112" s="97"/>
      <c r="G112" s="132"/>
      <c r="H112" s="135"/>
      <c r="I112" s="97"/>
      <c r="J112" s="139">
        <v>305.5</v>
      </c>
      <c r="K112" s="97"/>
      <c r="L112" s="136">
        <v>62550.247143444503</v>
      </c>
      <c r="M112" s="126">
        <f t="shared" si="6"/>
        <v>62855.747143444503</v>
      </c>
    </row>
    <row r="113" spans="1:13" x14ac:dyDescent="0.25">
      <c r="A113" s="129" t="s">
        <v>290</v>
      </c>
      <c r="B113" s="128">
        <v>47644.3</v>
      </c>
      <c r="C113" s="6">
        <v>47576</v>
      </c>
      <c r="D113" s="127">
        <f t="shared" si="7"/>
        <v>0.99856646020615258</v>
      </c>
      <c r="E113" s="131"/>
      <c r="F113" s="97"/>
      <c r="G113" s="132"/>
      <c r="H113" s="135"/>
      <c r="I113" s="97"/>
      <c r="J113" s="97"/>
      <c r="K113" s="97"/>
      <c r="L113" s="132"/>
      <c r="M113" s="126">
        <f t="shared" si="6"/>
        <v>0</v>
      </c>
    </row>
    <row r="114" spans="1:13" x14ac:dyDescent="0.25">
      <c r="A114" s="129" t="s">
        <v>291</v>
      </c>
      <c r="B114" s="128">
        <v>156197.9</v>
      </c>
      <c r="C114" s="6">
        <v>6488</v>
      </c>
      <c r="D114" s="127">
        <f t="shared" si="7"/>
        <v>4.1537050113990011E-2</v>
      </c>
      <c r="E114" s="131"/>
      <c r="F114" s="97"/>
      <c r="G114" s="132"/>
      <c r="H114" s="135"/>
      <c r="I114" s="97"/>
      <c r="J114" s="97"/>
      <c r="K114" s="97"/>
      <c r="L114" s="132"/>
      <c r="M114" s="126">
        <f t="shared" si="6"/>
        <v>0</v>
      </c>
    </row>
    <row r="115" spans="1:13" x14ac:dyDescent="0.25">
      <c r="A115" s="129" t="s">
        <v>292</v>
      </c>
      <c r="B115" s="128">
        <v>1280068.3</v>
      </c>
      <c r="C115" s="6">
        <v>50</v>
      </c>
      <c r="D115" s="127">
        <f t="shared" si="7"/>
        <v>3.9060415760627771E-5</v>
      </c>
      <c r="E115" s="131"/>
      <c r="F115" s="97"/>
      <c r="G115" s="132"/>
      <c r="H115" s="135"/>
      <c r="I115" s="97"/>
      <c r="J115" s="97"/>
      <c r="K115" s="97"/>
      <c r="L115" s="132"/>
      <c r="M115" s="126">
        <f t="shared" si="6"/>
        <v>0</v>
      </c>
    </row>
    <row r="116" spans="1:13" x14ac:dyDescent="0.25">
      <c r="A116" s="129" t="s">
        <v>293</v>
      </c>
      <c r="B116" s="128">
        <v>63362.3</v>
      </c>
      <c r="C116" s="6">
        <v>68765.649999999994</v>
      </c>
      <c r="D116" s="127">
        <v>1</v>
      </c>
      <c r="E116" s="131"/>
      <c r="F116" s="97"/>
      <c r="G116" s="132"/>
      <c r="H116" s="135"/>
      <c r="I116" s="97"/>
      <c r="J116" s="97"/>
      <c r="K116" s="97"/>
      <c r="L116" s="132"/>
      <c r="M116" s="126">
        <f t="shared" si="6"/>
        <v>0</v>
      </c>
    </row>
    <row r="117" spans="1:13" x14ac:dyDescent="0.25">
      <c r="A117" s="129" t="s">
        <v>69</v>
      </c>
      <c r="B117" s="128">
        <v>3284659.7</v>
      </c>
      <c r="C117" s="6">
        <v>715349.02</v>
      </c>
      <c r="D117" s="127">
        <f t="shared" ref="D117:D142" si="8">C117/B117</f>
        <v>0.217784819535491</v>
      </c>
      <c r="E117" s="131">
        <v>0.1</v>
      </c>
      <c r="F117" s="97">
        <f>IF(D117&lt;E117, E117*B117-C117, 0)</f>
        <v>0</v>
      </c>
      <c r="G117" s="132">
        <f>IF(F117&gt;SUM(H117:L117),F117-SUM(H117:L117),0)</f>
        <v>0</v>
      </c>
      <c r="H117" s="135"/>
      <c r="I117" s="97"/>
      <c r="J117" s="97"/>
      <c r="K117" s="97"/>
      <c r="L117" s="132"/>
      <c r="M117" s="126">
        <f t="shared" si="6"/>
        <v>0</v>
      </c>
    </row>
    <row r="118" spans="1:13" ht="30" x14ac:dyDescent="0.25">
      <c r="A118" s="129" t="s">
        <v>294</v>
      </c>
      <c r="B118" s="128">
        <v>3011917</v>
      </c>
      <c r="C118" s="6">
        <v>529</v>
      </c>
      <c r="D118" s="127">
        <f t="shared" si="8"/>
        <v>1.7563564998637082E-4</v>
      </c>
      <c r="E118" s="131"/>
      <c r="F118" s="97"/>
      <c r="G118" s="132"/>
      <c r="H118" s="135"/>
      <c r="I118" s="97"/>
      <c r="J118" s="165">
        <v>183250.4184</v>
      </c>
      <c r="K118" s="97"/>
      <c r="L118" s="136">
        <v>0</v>
      </c>
      <c r="M118" s="126">
        <f t="shared" si="6"/>
        <v>183250.4184</v>
      </c>
    </row>
    <row r="119" spans="1:13" x14ac:dyDescent="0.25">
      <c r="A119" s="129" t="s">
        <v>295</v>
      </c>
      <c r="B119" s="128">
        <v>284.2</v>
      </c>
      <c r="C119" s="6">
        <v>284</v>
      </c>
      <c r="D119" s="127">
        <f t="shared" si="8"/>
        <v>0.99929627023223089</v>
      </c>
      <c r="E119" s="131"/>
      <c r="F119" s="97"/>
      <c r="G119" s="132"/>
      <c r="H119" s="135"/>
      <c r="I119" s="97"/>
      <c r="J119" s="97"/>
      <c r="K119" s="97"/>
      <c r="L119" s="132"/>
      <c r="M119" s="126">
        <f t="shared" si="6"/>
        <v>0</v>
      </c>
    </row>
    <row r="120" spans="1:13" x14ac:dyDescent="0.25">
      <c r="A120" s="129" t="s">
        <v>46</v>
      </c>
      <c r="B120" s="128">
        <v>7459.2</v>
      </c>
      <c r="C120" s="6">
        <v>0</v>
      </c>
      <c r="D120" s="127">
        <f t="shared" si="8"/>
        <v>0</v>
      </c>
      <c r="E120" s="131"/>
      <c r="F120" s="97"/>
      <c r="G120" s="132"/>
      <c r="H120" s="135"/>
      <c r="I120" s="97"/>
      <c r="J120" s="97"/>
      <c r="K120" s="97"/>
      <c r="L120" s="132"/>
      <c r="M120" s="126">
        <f t="shared" si="6"/>
        <v>0</v>
      </c>
    </row>
    <row r="121" spans="1:13" x14ac:dyDescent="0.25">
      <c r="A121" s="129" t="s">
        <v>296</v>
      </c>
      <c r="B121" s="128">
        <v>7628.3</v>
      </c>
      <c r="C121" s="6">
        <v>0</v>
      </c>
      <c r="D121" s="127">
        <f t="shared" si="8"/>
        <v>0</v>
      </c>
      <c r="E121" s="131"/>
      <c r="F121" s="97"/>
      <c r="G121" s="132"/>
      <c r="H121" s="135"/>
      <c r="I121" s="97"/>
      <c r="J121" s="97">
        <f>0.1*B121</f>
        <v>762.83</v>
      </c>
      <c r="K121" s="97"/>
      <c r="L121" s="132"/>
      <c r="M121" s="126">
        <f t="shared" si="6"/>
        <v>762.83</v>
      </c>
    </row>
    <row r="122" spans="1:13" x14ac:dyDescent="0.25">
      <c r="A122" s="129" t="s">
        <v>120</v>
      </c>
      <c r="B122" s="128">
        <v>276136.40000000002</v>
      </c>
      <c r="C122" s="6">
        <v>1272</v>
      </c>
      <c r="D122" s="127">
        <f t="shared" si="8"/>
        <v>4.6064191464797828E-3</v>
      </c>
      <c r="E122" s="131">
        <v>0.1</v>
      </c>
      <c r="F122" s="97">
        <f>IF(D122&lt;E122, E122*B122-C122, 0)</f>
        <v>26341.640000000003</v>
      </c>
      <c r="G122" s="132">
        <f>IF(F122&gt;SUM(H122:L122),F122-SUM(H122:L122),0)</f>
        <v>26341.640000000003</v>
      </c>
      <c r="H122" s="135"/>
      <c r="I122" s="97"/>
      <c r="J122" s="97"/>
      <c r="K122" s="97"/>
      <c r="L122" s="132"/>
      <c r="M122" s="126">
        <f t="shared" si="6"/>
        <v>26341.640000000003</v>
      </c>
    </row>
    <row r="123" spans="1:13" x14ac:dyDescent="0.25">
      <c r="A123" s="129" t="s">
        <v>297</v>
      </c>
      <c r="B123" s="128">
        <v>574409.6</v>
      </c>
      <c r="C123" s="6">
        <v>12821</v>
      </c>
      <c r="D123" s="127">
        <f t="shared" si="8"/>
        <v>2.2320309409870589E-2</v>
      </c>
      <c r="E123" s="131"/>
      <c r="F123" s="97"/>
      <c r="G123" s="132"/>
      <c r="H123" s="135"/>
      <c r="I123" s="97"/>
      <c r="J123" s="97"/>
      <c r="K123" s="97"/>
      <c r="L123" s="132"/>
      <c r="M123" s="126">
        <f t="shared" si="6"/>
        <v>0</v>
      </c>
    </row>
    <row r="124" spans="1:13" x14ac:dyDescent="0.25">
      <c r="A124" s="129" t="s">
        <v>48</v>
      </c>
      <c r="B124" s="128">
        <v>514147.2</v>
      </c>
      <c r="C124" s="6">
        <v>558.69000000000005</v>
      </c>
      <c r="D124" s="127">
        <f t="shared" si="8"/>
        <v>1.0866343335138265E-3</v>
      </c>
      <c r="E124" s="131"/>
      <c r="F124" s="97"/>
      <c r="G124" s="132"/>
      <c r="H124" s="135"/>
      <c r="I124" s="97"/>
      <c r="J124" s="97"/>
      <c r="K124" s="97"/>
      <c r="L124" s="132"/>
      <c r="M124" s="126">
        <f t="shared" si="6"/>
        <v>0</v>
      </c>
    </row>
    <row r="125" spans="1:13" x14ac:dyDescent="0.25">
      <c r="A125" s="129" t="s">
        <v>298</v>
      </c>
      <c r="B125" s="128">
        <v>562727.6</v>
      </c>
      <c r="C125" s="6">
        <v>9646</v>
      </c>
      <c r="D125" s="127">
        <f t="shared" si="8"/>
        <v>1.7141508609138774E-2</v>
      </c>
      <c r="E125" s="131"/>
      <c r="F125" s="97"/>
      <c r="G125" s="132"/>
      <c r="H125" s="135"/>
      <c r="I125" s="97"/>
      <c r="J125" s="97"/>
      <c r="K125" s="97"/>
      <c r="L125" s="132"/>
      <c r="M125" s="126">
        <f t="shared" si="6"/>
        <v>0</v>
      </c>
    </row>
    <row r="126" spans="1:13" x14ac:dyDescent="0.25">
      <c r="A126" s="130" t="s">
        <v>299</v>
      </c>
      <c r="B126" s="128">
        <v>310564.22469784098</v>
      </c>
      <c r="C126" s="6">
        <v>0</v>
      </c>
      <c r="D126" s="127">
        <f t="shared" si="8"/>
        <v>0</v>
      </c>
      <c r="E126" s="131"/>
      <c r="F126" s="97"/>
      <c r="G126" s="132"/>
      <c r="H126" s="135"/>
      <c r="I126" s="97"/>
      <c r="J126" s="97"/>
      <c r="K126" s="97"/>
      <c r="L126" s="132"/>
      <c r="M126" s="126">
        <f t="shared" si="6"/>
        <v>0</v>
      </c>
    </row>
    <row r="127" spans="1:13" x14ac:dyDescent="0.25">
      <c r="A127" s="129" t="s">
        <v>300</v>
      </c>
      <c r="B127" s="128">
        <v>64205</v>
      </c>
      <c r="C127" s="6">
        <v>17114.39</v>
      </c>
      <c r="D127" s="127">
        <f t="shared" si="8"/>
        <v>0.26655852347947978</v>
      </c>
      <c r="E127" s="131"/>
      <c r="F127" s="97"/>
      <c r="G127" s="132"/>
      <c r="H127" s="135"/>
      <c r="I127" s="97"/>
      <c r="J127" s="97"/>
      <c r="K127" s="97"/>
      <c r="L127" s="132"/>
      <c r="M127" s="126">
        <f t="shared" si="6"/>
        <v>0</v>
      </c>
    </row>
    <row r="128" spans="1:13" x14ac:dyDescent="0.25">
      <c r="A128" s="129" t="s">
        <v>301</v>
      </c>
      <c r="B128" s="128">
        <v>1371803.2</v>
      </c>
      <c r="C128" s="6">
        <v>1321612</v>
      </c>
      <c r="D128" s="127">
        <f t="shared" si="8"/>
        <v>0.9634122445551957</v>
      </c>
      <c r="E128" s="131"/>
      <c r="F128" s="97"/>
      <c r="G128" s="132"/>
      <c r="H128" s="135"/>
      <c r="I128" s="97"/>
      <c r="J128" s="97"/>
      <c r="K128" s="97"/>
      <c r="L128" s="132"/>
      <c r="M128" s="126">
        <f t="shared" si="6"/>
        <v>0</v>
      </c>
    </row>
    <row r="129" spans="1:13" x14ac:dyDescent="0.25">
      <c r="A129" s="129" t="s">
        <v>122</v>
      </c>
      <c r="B129" s="128">
        <v>4106953.9</v>
      </c>
      <c r="C129" s="6">
        <v>1246173</v>
      </c>
      <c r="D129" s="127">
        <f t="shared" si="8"/>
        <v>0.30342999467318105</v>
      </c>
      <c r="E129" s="131">
        <v>0.1</v>
      </c>
      <c r="F129" s="97">
        <f>IF(D129&lt;E129, E129*B129-C129, 0)</f>
        <v>0</v>
      </c>
      <c r="G129" s="132">
        <f>IF(F129&gt;SUM(H129:L129),F129-SUM(H129:L129),0)</f>
        <v>0</v>
      </c>
      <c r="H129" s="135"/>
      <c r="I129" s="97"/>
      <c r="J129" s="97"/>
      <c r="K129" s="97"/>
      <c r="L129" s="132"/>
      <c r="M129" s="126">
        <f t="shared" si="6"/>
        <v>0</v>
      </c>
    </row>
    <row r="130" spans="1:13" x14ac:dyDescent="0.25">
      <c r="A130" s="129" t="s">
        <v>302</v>
      </c>
      <c r="B130" s="128">
        <v>223935.2</v>
      </c>
      <c r="C130" s="6">
        <v>6563</v>
      </c>
      <c r="D130" s="127">
        <f t="shared" si="8"/>
        <v>2.9307585408636067E-2</v>
      </c>
      <c r="E130" s="131"/>
      <c r="F130" s="97"/>
      <c r="G130" s="132"/>
      <c r="H130" s="135"/>
      <c r="I130" s="97"/>
      <c r="J130" s="97"/>
      <c r="K130" s="97"/>
      <c r="L130" s="132"/>
      <c r="M130" s="126">
        <f t="shared" si="6"/>
        <v>0</v>
      </c>
    </row>
    <row r="131" spans="1:13" x14ac:dyDescent="0.25">
      <c r="A131" s="129" t="s">
        <v>303</v>
      </c>
      <c r="B131" s="128">
        <v>182868.2</v>
      </c>
      <c r="C131" s="6">
        <v>31</v>
      </c>
      <c r="D131" s="127">
        <f t="shared" si="8"/>
        <v>1.6952099927707495E-4</v>
      </c>
      <c r="E131" s="131"/>
      <c r="F131" s="97"/>
      <c r="G131" s="132"/>
      <c r="H131" s="135"/>
      <c r="I131" s="97"/>
      <c r="J131" s="97"/>
      <c r="K131" s="97"/>
      <c r="L131" s="132"/>
      <c r="M131" s="126">
        <f t="shared" ref="M131:M162" si="9">G131+H131+I131+J131+K131+L131</f>
        <v>0</v>
      </c>
    </row>
    <row r="132" spans="1:13" x14ac:dyDescent="0.25">
      <c r="A132" s="129" t="s">
        <v>304</v>
      </c>
      <c r="B132" s="128">
        <v>318243.7</v>
      </c>
      <c r="C132" s="6">
        <v>36</v>
      </c>
      <c r="D132" s="127">
        <f t="shared" si="8"/>
        <v>1.1312085675223106E-4</v>
      </c>
      <c r="E132" s="131"/>
      <c r="F132" s="97"/>
      <c r="G132" s="132"/>
      <c r="H132" s="135"/>
      <c r="I132" s="97">
        <v>45</v>
      </c>
      <c r="J132" s="97"/>
      <c r="K132" s="97"/>
      <c r="L132" s="132"/>
      <c r="M132" s="126">
        <f t="shared" si="9"/>
        <v>45</v>
      </c>
    </row>
    <row r="133" spans="1:13" x14ac:dyDescent="0.25">
      <c r="A133" s="129" t="s">
        <v>305</v>
      </c>
      <c r="B133" s="128">
        <v>432638.1</v>
      </c>
      <c r="C133" s="6">
        <v>4</v>
      </c>
      <c r="D133" s="127">
        <f t="shared" si="8"/>
        <v>9.2456027335549054E-6</v>
      </c>
      <c r="E133" s="131"/>
      <c r="F133" s="97"/>
      <c r="G133" s="132"/>
      <c r="H133" s="135"/>
      <c r="I133" s="97"/>
      <c r="J133" s="97"/>
      <c r="K133" s="97"/>
      <c r="L133" s="132"/>
      <c r="M133" s="126">
        <f t="shared" si="9"/>
        <v>0</v>
      </c>
    </row>
    <row r="134" spans="1:13" ht="30" x14ac:dyDescent="0.25">
      <c r="A134" s="129" t="s">
        <v>306</v>
      </c>
      <c r="B134" s="128">
        <v>773667.9</v>
      </c>
      <c r="C134" s="6">
        <v>257075</v>
      </c>
      <c r="D134" s="127">
        <f t="shared" si="8"/>
        <v>0.33228081454587943</v>
      </c>
      <c r="E134" s="131"/>
      <c r="F134" s="97"/>
      <c r="G134" s="132"/>
      <c r="H134" s="135"/>
      <c r="I134" s="97"/>
      <c r="J134" s="97"/>
      <c r="K134" s="97"/>
      <c r="L134" s="53">
        <v>2450.05213868803</v>
      </c>
      <c r="M134" s="126">
        <f t="shared" si="9"/>
        <v>2450.05213868803</v>
      </c>
    </row>
    <row r="135" spans="1:13" x14ac:dyDescent="0.25">
      <c r="A135" s="129" t="s">
        <v>307</v>
      </c>
      <c r="B135" s="128">
        <v>926317.7</v>
      </c>
      <c r="C135" s="6">
        <v>6750.12</v>
      </c>
      <c r="D135" s="127">
        <f t="shared" si="8"/>
        <v>7.2870463341032999E-3</v>
      </c>
      <c r="E135" s="131"/>
      <c r="F135" s="97"/>
      <c r="G135" s="132"/>
      <c r="H135" s="135"/>
      <c r="I135" s="97"/>
      <c r="J135" s="97"/>
      <c r="K135" s="97"/>
      <c r="L135" s="132"/>
      <c r="M135" s="126">
        <f t="shared" si="9"/>
        <v>0</v>
      </c>
    </row>
    <row r="136" spans="1:13" x14ac:dyDescent="0.25">
      <c r="A136" s="129" t="s">
        <v>308</v>
      </c>
      <c r="B136" s="128">
        <v>538980.19999999995</v>
      </c>
      <c r="C136" s="6">
        <v>664</v>
      </c>
      <c r="D136" s="127">
        <f t="shared" si="8"/>
        <v>1.2319562017306018E-3</v>
      </c>
      <c r="E136" s="131"/>
      <c r="F136" s="97"/>
      <c r="G136" s="132"/>
      <c r="H136" s="135"/>
      <c r="I136" s="97"/>
      <c r="J136" s="97"/>
      <c r="K136" s="97"/>
      <c r="L136" s="132"/>
      <c r="M136" s="126">
        <f t="shared" si="9"/>
        <v>0</v>
      </c>
    </row>
    <row r="137" spans="1:13" x14ac:dyDescent="0.25">
      <c r="A137" s="129" t="s">
        <v>184</v>
      </c>
      <c r="B137" s="128">
        <v>222743.9</v>
      </c>
      <c r="C137" s="6">
        <v>1707</v>
      </c>
      <c r="D137" s="127">
        <f t="shared" si="8"/>
        <v>7.6635095282070577E-3</v>
      </c>
      <c r="E137" s="131"/>
      <c r="F137" s="97"/>
      <c r="G137" s="132"/>
      <c r="H137" s="135"/>
      <c r="I137" s="97"/>
      <c r="J137" s="97"/>
      <c r="K137" s="97"/>
      <c r="L137" s="132"/>
      <c r="M137" s="126">
        <f t="shared" si="9"/>
        <v>0</v>
      </c>
    </row>
    <row r="138" spans="1:13" x14ac:dyDescent="0.25">
      <c r="A138" s="129" t="s">
        <v>309</v>
      </c>
      <c r="B138" s="128">
        <v>608152.5</v>
      </c>
      <c r="C138" s="6">
        <v>504677</v>
      </c>
      <c r="D138" s="127">
        <f t="shared" si="8"/>
        <v>0.82985270964108504</v>
      </c>
      <c r="E138" s="131"/>
      <c r="F138" s="97"/>
      <c r="G138" s="132"/>
      <c r="H138" s="135"/>
      <c r="I138" s="97"/>
      <c r="J138" s="97"/>
      <c r="K138" s="97"/>
      <c r="L138" s="136">
        <v>0</v>
      </c>
      <c r="M138" s="126">
        <f t="shared" si="9"/>
        <v>0</v>
      </c>
    </row>
    <row r="139" spans="1:13" x14ac:dyDescent="0.25">
      <c r="A139" s="129" t="s">
        <v>310</v>
      </c>
      <c r="B139" s="128">
        <v>332643.5</v>
      </c>
      <c r="C139" s="6">
        <v>5593</v>
      </c>
      <c r="D139" s="127">
        <f t="shared" si="8"/>
        <v>1.6813796151134774E-2</v>
      </c>
      <c r="E139" s="131"/>
      <c r="F139" s="97"/>
      <c r="G139" s="132"/>
      <c r="H139" s="135"/>
      <c r="I139" s="97"/>
      <c r="J139" s="97"/>
      <c r="K139" s="97"/>
      <c r="L139" s="132"/>
      <c r="M139" s="126">
        <f t="shared" si="9"/>
        <v>0</v>
      </c>
    </row>
    <row r="140" spans="1:13" x14ac:dyDescent="0.25">
      <c r="A140" s="129" t="s">
        <v>51</v>
      </c>
      <c r="B140" s="128">
        <v>2407381.7999999998</v>
      </c>
      <c r="C140" s="6">
        <v>4586</v>
      </c>
      <c r="D140" s="127">
        <f t="shared" si="8"/>
        <v>1.9049741092169096E-3</v>
      </c>
      <c r="E140" s="131"/>
      <c r="F140" s="97"/>
      <c r="G140" s="132"/>
      <c r="H140" s="135"/>
      <c r="I140" s="97"/>
      <c r="J140" s="97"/>
      <c r="K140" s="97"/>
      <c r="L140" s="132"/>
      <c r="M140" s="126">
        <f t="shared" si="9"/>
        <v>0</v>
      </c>
    </row>
    <row r="141" spans="1:13" x14ac:dyDescent="0.25">
      <c r="A141" s="129" t="s">
        <v>53</v>
      </c>
      <c r="B141" s="128">
        <v>838329.6</v>
      </c>
      <c r="C141" s="6">
        <v>4031</v>
      </c>
      <c r="D141" s="127">
        <f t="shared" si="8"/>
        <v>4.808371313621755E-3</v>
      </c>
      <c r="E141" s="131"/>
      <c r="F141" s="97"/>
      <c r="G141" s="132"/>
      <c r="H141" s="135"/>
      <c r="I141" s="97"/>
      <c r="J141" s="97"/>
      <c r="K141" s="97"/>
      <c r="L141" s="132"/>
      <c r="M141" s="126">
        <f t="shared" si="9"/>
        <v>0</v>
      </c>
    </row>
    <row r="142" spans="1:13" x14ac:dyDescent="0.25">
      <c r="A142" s="129" t="s">
        <v>21</v>
      </c>
      <c r="B142" s="128">
        <v>1835028.2</v>
      </c>
      <c r="C142" s="6">
        <v>21269</v>
      </c>
      <c r="D142" s="127">
        <f t="shared" si="8"/>
        <v>1.1590557572902695E-2</v>
      </c>
      <c r="E142" s="131"/>
      <c r="F142" s="97"/>
      <c r="G142" s="132"/>
      <c r="H142" s="135">
        <f>26744.1-879.7</f>
        <v>25864.399999999998</v>
      </c>
      <c r="I142" s="97"/>
      <c r="J142" s="97"/>
      <c r="K142" s="97"/>
      <c r="L142" s="132"/>
      <c r="M142" s="126">
        <f t="shared" si="9"/>
        <v>25864.399999999998</v>
      </c>
    </row>
    <row r="143" spans="1:13" x14ac:dyDescent="0.25">
      <c r="A143" s="129" t="s">
        <v>311</v>
      </c>
      <c r="B143" s="128">
        <v>839479</v>
      </c>
      <c r="C143" s="6">
        <v>845793</v>
      </c>
      <c r="D143" s="127">
        <v>1</v>
      </c>
      <c r="E143" s="131"/>
      <c r="F143" s="97"/>
      <c r="G143" s="132"/>
      <c r="H143" s="135"/>
      <c r="I143" s="97"/>
      <c r="J143" s="97"/>
      <c r="K143" s="97"/>
      <c r="L143" s="132"/>
      <c r="M143" s="126">
        <f t="shared" si="9"/>
        <v>0</v>
      </c>
    </row>
    <row r="144" spans="1:13" x14ac:dyDescent="0.25">
      <c r="A144" s="129" t="s">
        <v>312</v>
      </c>
      <c r="B144" s="128">
        <v>31945.599999999999</v>
      </c>
      <c r="C144" s="6">
        <v>7210.84</v>
      </c>
      <c r="D144" s="127">
        <f t="shared" ref="D144:D166" si="10">C144/B144</f>
        <v>0.22572247821296204</v>
      </c>
      <c r="E144" s="131"/>
      <c r="F144" s="97"/>
      <c r="G144" s="132"/>
      <c r="H144" s="135"/>
      <c r="I144" s="97"/>
      <c r="J144" s="97"/>
      <c r="K144" s="97"/>
      <c r="L144" s="132"/>
      <c r="M144" s="126">
        <f t="shared" si="9"/>
        <v>0</v>
      </c>
    </row>
    <row r="145" spans="1:13" x14ac:dyDescent="0.25">
      <c r="A145" s="129" t="s">
        <v>313</v>
      </c>
      <c r="B145" s="128">
        <v>1724156.2</v>
      </c>
      <c r="C145" s="6">
        <v>144084.26</v>
      </c>
      <c r="D145" s="127">
        <f t="shared" si="10"/>
        <v>8.3567985313627621E-2</v>
      </c>
      <c r="E145" s="131"/>
      <c r="F145" s="97"/>
      <c r="G145" s="132"/>
      <c r="H145" s="135"/>
      <c r="I145" s="97"/>
      <c r="J145" s="97">
        <f>0.14*B145-C145</f>
        <v>97297.608000000007</v>
      </c>
      <c r="K145" s="97"/>
      <c r="L145" s="132"/>
      <c r="M145" s="126">
        <f t="shared" si="9"/>
        <v>97297.608000000007</v>
      </c>
    </row>
    <row r="146" spans="1:13" x14ac:dyDescent="0.25">
      <c r="A146" s="129" t="s">
        <v>314</v>
      </c>
      <c r="B146" s="128">
        <v>176163.1</v>
      </c>
      <c r="C146" s="6">
        <v>3076</v>
      </c>
      <c r="D146" s="127">
        <f t="shared" si="10"/>
        <v>1.7461091454453289E-2</v>
      </c>
      <c r="E146" s="131"/>
      <c r="F146" s="97"/>
      <c r="G146" s="132"/>
      <c r="H146" s="135"/>
      <c r="I146" s="97"/>
      <c r="J146" s="97"/>
      <c r="K146" s="97"/>
      <c r="L146" s="136">
        <f>0.2*B146-C146-SUM(H146:K146)</f>
        <v>32156.620000000003</v>
      </c>
      <c r="M146" s="126">
        <f t="shared" si="9"/>
        <v>32156.620000000003</v>
      </c>
    </row>
    <row r="147" spans="1:13" x14ac:dyDescent="0.25">
      <c r="A147" s="129" t="s">
        <v>315</v>
      </c>
      <c r="B147" s="128">
        <v>31987.7</v>
      </c>
      <c r="C147" s="6">
        <v>58</v>
      </c>
      <c r="D147" s="127">
        <f t="shared" si="10"/>
        <v>1.8131969475767248E-3</v>
      </c>
      <c r="E147" s="131"/>
      <c r="F147" s="97"/>
      <c r="G147" s="132"/>
      <c r="H147" s="135"/>
      <c r="I147" s="97"/>
      <c r="J147" s="97"/>
      <c r="K147" s="97"/>
      <c r="L147" s="132"/>
      <c r="M147" s="126">
        <f t="shared" si="9"/>
        <v>0</v>
      </c>
    </row>
    <row r="148" spans="1:13" x14ac:dyDescent="0.25">
      <c r="A148" s="129" t="s">
        <v>55</v>
      </c>
      <c r="B148" s="128">
        <v>324993.8</v>
      </c>
      <c r="C148" s="6">
        <v>5299</v>
      </c>
      <c r="D148" s="127">
        <f t="shared" si="10"/>
        <v>1.6304926432442711E-2</v>
      </c>
      <c r="E148" s="131">
        <v>0.1</v>
      </c>
      <c r="F148" s="97">
        <f>IF(D148&lt;E148, E148*B148-C148, 0)</f>
        <v>27200.38</v>
      </c>
      <c r="G148" s="132">
        <f>IF(F148&gt;SUM(H148:L148),F148-SUM(H148:L148),0)</f>
        <v>27200.38</v>
      </c>
      <c r="H148" s="135"/>
      <c r="I148" s="97"/>
      <c r="J148" s="97"/>
      <c r="K148" s="97"/>
      <c r="L148" s="132"/>
      <c r="M148" s="126">
        <f t="shared" si="9"/>
        <v>27200.38</v>
      </c>
    </row>
    <row r="149" spans="1:13" x14ac:dyDescent="0.25">
      <c r="A149" s="129" t="s">
        <v>316</v>
      </c>
      <c r="B149" s="128">
        <v>316498.90000000002</v>
      </c>
      <c r="C149" s="6">
        <v>51</v>
      </c>
      <c r="D149" s="127">
        <f t="shared" si="10"/>
        <v>1.6113800079557938E-4</v>
      </c>
      <c r="E149" s="131"/>
      <c r="F149" s="97"/>
      <c r="G149" s="132"/>
      <c r="H149" s="135"/>
      <c r="I149" s="97"/>
      <c r="J149" s="97"/>
      <c r="K149" s="97"/>
      <c r="L149" s="132"/>
      <c r="M149" s="126">
        <f t="shared" si="9"/>
        <v>0</v>
      </c>
    </row>
    <row r="150" spans="1:13" x14ac:dyDescent="0.25">
      <c r="A150" s="129" t="s">
        <v>317</v>
      </c>
      <c r="B150" s="128">
        <v>29726.400000000001</v>
      </c>
      <c r="C150" s="6">
        <v>6865.49</v>
      </c>
      <c r="D150" s="127">
        <f t="shared" si="10"/>
        <v>0.2309559852521664</v>
      </c>
      <c r="E150" s="131"/>
      <c r="F150" s="97"/>
      <c r="G150" s="132"/>
      <c r="H150" s="135"/>
      <c r="I150" s="97"/>
      <c r="J150" s="97"/>
      <c r="K150" s="97"/>
      <c r="L150" s="132"/>
      <c r="M150" s="126">
        <f t="shared" si="9"/>
        <v>0</v>
      </c>
    </row>
    <row r="151" spans="1:13" x14ac:dyDescent="0.25">
      <c r="A151" s="129" t="s">
        <v>124</v>
      </c>
      <c r="B151" s="128">
        <v>7673314.0999999996</v>
      </c>
      <c r="C151" s="6">
        <v>228247</v>
      </c>
      <c r="D151" s="127">
        <f t="shared" si="10"/>
        <v>2.9745556747116608E-2</v>
      </c>
      <c r="E151" s="131">
        <v>0.1</v>
      </c>
      <c r="F151" s="97">
        <f>IF(D151&lt;E151, E151*B151-C151, 0)</f>
        <v>539084.41</v>
      </c>
      <c r="G151" s="132">
        <f>IF(F151&gt;SUM(H151:L151),F151-SUM(H151:L151),0)</f>
        <v>539084.41</v>
      </c>
      <c r="H151" s="135"/>
      <c r="I151" s="97"/>
      <c r="J151" s="97"/>
      <c r="K151" s="97"/>
      <c r="L151" s="132"/>
      <c r="M151" s="126">
        <f t="shared" si="9"/>
        <v>539084.41</v>
      </c>
    </row>
    <row r="152" spans="1:13" x14ac:dyDescent="0.25">
      <c r="A152" s="129" t="s">
        <v>318</v>
      </c>
      <c r="B152" s="128">
        <v>4317.8999999999996</v>
      </c>
      <c r="C152" s="6">
        <v>4246</v>
      </c>
      <c r="D152" s="127">
        <f t="shared" si="10"/>
        <v>0.98334838694735871</v>
      </c>
      <c r="E152" s="131"/>
      <c r="F152" s="97"/>
      <c r="G152" s="132"/>
      <c r="H152" s="135"/>
      <c r="I152" s="97"/>
      <c r="J152" s="97"/>
      <c r="K152" s="97"/>
      <c r="L152" s="132"/>
      <c r="M152" s="126">
        <f t="shared" si="9"/>
        <v>0</v>
      </c>
    </row>
    <row r="153" spans="1:13" x14ac:dyDescent="0.25">
      <c r="A153" s="129" t="s">
        <v>319</v>
      </c>
      <c r="B153" s="128">
        <v>1647745.1</v>
      </c>
      <c r="C153" s="6">
        <v>453613</v>
      </c>
      <c r="D153" s="127">
        <f t="shared" si="10"/>
        <v>0.27529318703481503</v>
      </c>
      <c r="E153" s="131"/>
      <c r="F153" s="97"/>
      <c r="G153" s="132"/>
      <c r="H153" s="135"/>
      <c r="I153" s="97"/>
      <c r="J153" s="97"/>
      <c r="K153" s="139">
        <v>970510</v>
      </c>
      <c r="L153" s="132"/>
      <c r="M153" s="126">
        <f t="shared" si="9"/>
        <v>970510</v>
      </c>
    </row>
    <row r="154" spans="1:13" x14ac:dyDescent="0.25">
      <c r="A154" s="129" t="s">
        <v>320</v>
      </c>
      <c r="B154" s="128">
        <v>10262.9</v>
      </c>
      <c r="C154" s="6">
        <v>17</v>
      </c>
      <c r="D154" s="127">
        <f t="shared" si="10"/>
        <v>1.6564518800728839E-3</v>
      </c>
      <c r="E154" s="131"/>
      <c r="F154" s="97"/>
      <c r="G154" s="132"/>
      <c r="H154" s="135">
        <f>0.1*B154-C154</f>
        <v>1009.29</v>
      </c>
      <c r="I154" s="97">
        <v>35</v>
      </c>
      <c r="J154" s="97"/>
      <c r="K154" s="97"/>
      <c r="L154" s="136">
        <f>0.2*B154-C154-SUM(H154:K154)</f>
        <v>991.29</v>
      </c>
      <c r="M154" s="126">
        <f t="shared" si="9"/>
        <v>2035.58</v>
      </c>
    </row>
    <row r="155" spans="1:13" x14ac:dyDescent="0.25">
      <c r="A155" s="129" t="s">
        <v>321</v>
      </c>
      <c r="B155" s="128">
        <v>15560.3</v>
      </c>
      <c r="C155" s="6">
        <v>34</v>
      </c>
      <c r="D155" s="127">
        <f t="shared" si="10"/>
        <v>2.185047846121219E-3</v>
      </c>
      <c r="E155" s="131"/>
      <c r="F155" s="97"/>
      <c r="G155" s="132"/>
      <c r="H155" s="135">
        <f>0.1*B155-C155</f>
        <v>1522.03</v>
      </c>
      <c r="I155" s="97"/>
      <c r="J155" s="97"/>
      <c r="K155" s="97"/>
      <c r="L155" s="136">
        <f>0.2*B155-C155-SUM(H155:K155)</f>
        <v>1556.03</v>
      </c>
      <c r="M155" s="126">
        <f t="shared" si="9"/>
        <v>3078.06</v>
      </c>
    </row>
    <row r="156" spans="1:13" ht="30" x14ac:dyDescent="0.25">
      <c r="A156" s="129" t="s">
        <v>322</v>
      </c>
      <c r="B156" s="128">
        <v>1068.7</v>
      </c>
      <c r="C156" s="6">
        <v>100</v>
      </c>
      <c r="D156" s="127">
        <f t="shared" si="10"/>
        <v>9.3571629082062319E-2</v>
      </c>
      <c r="E156" s="131"/>
      <c r="F156" s="97"/>
      <c r="G156" s="132"/>
      <c r="H156" s="135"/>
      <c r="I156" s="97"/>
      <c r="J156" s="97"/>
      <c r="K156" s="97"/>
      <c r="L156" s="132"/>
      <c r="M156" s="126">
        <f t="shared" si="9"/>
        <v>0</v>
      </c>
    </row>
    <row r="157" spans="1:13" ht="30" x14ac:dyDescent="0.25">
      <c r="A157" s="129" t="s">
        <v>323</v>
      </c>
      <c r="B157" s="128">
        <v>12367.3</v>
      </c>
      <c r="C157" s="6">
        <v>7</v>
      </c>
      <c r="D157" s="127">
        <f t="shared" si="10"/>
        <v>5.6600874887808986E-4</v>
      </c>
      <c r="E157" s="131"/>
      <c r="F157" s="97"/>
      <c r="G157" s="132"/>
      <c r="H157" s="135"/>
      <c r="I157" s="97"/>
      <c r="J157" s="97"/>
      <c r="K157" s="97"/>
      <c r="L157" s="132"/>
      <c r="M157" s="126">
        <f t="shared" si="9"/>
        <v>0</v>
      </c>
    </row>
    <row r="158" spans="1:13" ht="30" x14ac:dyDescent="0.25">
      <c r="A158" s="129" t="s">
        <v>324</v>
      </c>
      <c r="B158" s="128">
        <v>36510.9</v>
      </c>
      <c r="C158" s="6">
        <v>80.36</v>
      </c>
      <c r="D158" s="127">
        <f t="shared" si="10"/>
        <v>2.200986554700103E-3</v>
      </c>
      <c r="E158" s="131"/>
      <c r="F158" s="97"/>
      <c r="G158" s="132"/>
      <c r="H158" s="135">
        <v>1184</v>
      </c>
      <c r="I158" s="97"/>
      <c r="J158" s="97"/>
      <c r="K158" s="97"/>
      <c r="L158" s="136">
        <f>0.2*B158-C158-SUM(H158:K158)</f>
        <v>6037.8200000000006</v>
      </c>
      <c r="M158" s="126">
        <f t="shared" si="9"/>
        <v>7221.8200000000006</v>
      </c>
    </row>
    <row r="159" spans="1:13" x14ac:dyDescent="0.25">
      <c r="A159" s="129" t="s">
        <v>126</v>
      </c>
      <c r="B159" s="128">
        <v>132305.60000000001</v>
      </c>
      <c r="C159" s="6">
        <v>113</v>
      </c>
      <c r="D159" s="127">
        <f t="shared" si="10"/>
        <v>8.5408327387502872E-4</v>
      </c>
      <c r="E159" s="131">
        <v>0.1</v>
      </c>
      <c r="F159" s="97">
        <f>IF(D159&lt;E159, E159*B159-C159, 0)</f>
        <v>13117.560000000001</v>
      </c>
      <c r="G159" s="132">
        <f>IF(F159&gt;SUM(H159:L159),F159-SUM(H159:L159),0)</f>
        <v>13117.560000000001</v>
      </c>
      <c r="H159" s="135"/>
      <c r="I159" s="97"/>
      <c r="J159" s="97"/>
      <c r="K159" s="97"/>
      <c r="L159" s="132"/>
      <c r="M159" s="126">
        <f t="shared" si="9"/>
        <v>13117.560000000001</v>
      </c>
    </row>
    <row r="160" spans="1:13" ht="30" x14ac:dyDescent="0.25">
      <c r="A160" s="129" t="s">
        <v>325</v>
      </c>
      <c r="B160" s="128">
        <v>131709.20000000001</v>
      </c>
      <c r="C160" s="6">
        <v>35</v>
      </c>
      <c r="D160" s="127">
        <f t="shared" si="10"/>
        <v>2.6573694168668548E-4</v>
      </c>
      <c r="E160" s="131"/>
      <c r="F160" s="97"/>
      <c r="G160" s="132"/>
      <c r="H160" s="135"/>
      <c r="I160" s="97"/>
      <c r="J160" s="97"/>
      <c r="K160" s="97"/>
      <c r="L160" s="132"/>
      <c r="M160" s="126">
        <f t="shared" si="9"/>
        <v>0</v>
      </c>
    </row>
    <row r="161" spans="1:13" x14ac:dyDescent="0.25">
      <c r="A161" s="129" t="s">
        <v>22</v>
      </c>
      <c r="B161" s="128">
        <v>220338.2</v>
      </c>
      <c r="C161" s="6">
        <v>3364</v>
      </c>
      <c r="D161" s="127">
        <f t="shared" si="10"/>
        <v>1.5267438873513534E-2</v>
      </c>
      <c r="E161" s="131"/>
      <c r="F161" s="97"/>
      <c r="G161" s="132"/>
      <c r="H161" s="137">
        <v>11614.33</v>
      </c>
      <c r="I161" s="97"/>
      <c r="J161" s="97"/>
      <c r="K161" s="97"/>
      <c r="L161" s="132"/>
      <c r="M161" s="126">
        <f t="shared" si="9"/>
        <v>11614.33</v>
      </c>
    </row>
    <row r="162" spans="1:13" x14ac:dyDescent="0.25">
      <c r="A162" s="129" t="s">
        <v>57</v>
      </c>
      <c r="B162" s="128">
        <v>158426.4</v>
      </c>
      <c r="C162" s="6">
        <v>1747</v>
      </c>
      <c r="D162" s="127">
        <f t="shared" si="10"/>
        <v>1.1027202536950912E-2</v>
      </c>
      <c r="E162" s="131"/>
      <c r="F162" s="97"/>
      <c r="G162" s="132"/>
      <c r="H162" s="135"/>
      <c r="I162" s="97"/>
      <c r="J162" s="97"/>
      <c r="K162" s="97"/>
      <c r="L162" s="132"/>
      <c r="M162" s="126">
        <f t="shared" si="9"/>
        <v>0</v>
      </c>
    </row>
    <row r="163" spans="1:13" x14ac:dyDescent="0.25">
      <c r="A163" s="129" t="s">
        <v>127</v>
      </c>
      <c r="B163" s="128">
        <v>1340839.5</v>
      </c>
      <c r="C163" s="6">
        <v>484</v>
      </c>
      <c r="D163" s="127">
        <f t="shared" si="10"/>
        <v>3.6096788616385482E-4</v>
      </c>
      <c r="E163" s="131">
        <v>0.1</v>
      </c>
      <c r="F163" s="97">
        <f>IF(D163&lt;E163, E163*B163-C163, 0)</f>
        <v>133599.95000000001</v>
      </c>
      <c r="G163" s="132">
        <f>IF(F163&gt;SUM(H163:L163),F163-SUM(H163:L163),0)</f>
        <v>0</v>
      </c>
      <c r="H163" s="135"/>
      <c r="I163" s="97">
        <v>12</v>
      </c>
      <c r="J163" s="97">
        <f>0.3*B163-C163-I163</f>
        <v>401755.85</v>
      </c>
      <c r="L163" s="132"/>
      <c r="M163" s="126">
        <f t="shared" ref="M163:M194" si="11">G163+H163+I163+J163+K163+L163</f>
        <v>401767.85</v>
      </c>
    </row>
    <row r="164" spans="1:13" x14ac:dyDescent="0.25">
      <c r="A164" s="129" t="s">
        <v>59</v>
      </c>
      <c r="B164" s="128">
        <v>160452.6</v>
      </c>
      <c r="C164" s="6">
        <v>863</v>
      </c>
      <c r="D164" s="127">
        <f t="shared" si="10"/>
        <v>5.3785354677954736E-3</v>
      </c>
      <c r="E164" s="131"/>
      <c r="F164" s="97"/>
      <c r="G164" s="132"/>
      <c r="H164" s="135"/>
      <c r="I164" s="97"/>
      <c r="J164" s="97"/>
      <c r="K164" s="97"/>
      <c r="L164" s="132"/>
      <c r="M164" s="126">
        <f t="shared" si="11"/>
        <v>0</v>
      </c>
    </row>
    <row r="165" spans="1:13" x14ac:dyDescent="0.25">
      <c r="A165" s="129" t="s">
        <v>326</v>
      </c>
      <c r="B165" s="128">
        <v>762.7</v>
      </c>
      <c r="C165" s="6">
        <v>0</v>
      </c>
      <c r="D165" s="127">
        <f t="shared" si="10"/>
        <v>0</v>
      </c>
      <c r="E165" s="131"/>
      <c r="F165" s="97"/>
      <c r="G165" s="132"/>
      <c r="H165" s="135"/>
      <c r="I165" s="97"/>
      <c r="J165" s="97"/>
      <c r="K165" s="97"/>
      <c r="L165" s="132"/>
      <c r="M165" s="126">
        <f t="shared" si="11"/>
        <v>0</v>
      </c>
    </row>
    <row r="166" spans="1:13" ht="30" x14ac:dyDescent="0.25">
      <c r="A166" s="129" t="s">
        <v>327</v>
      </c>
      <c r="B166" s="128">
        <v>497.5</v>
      </c>
      <c r="C166" s="6">
        <v>16.760000000000002</v>
      </c>
      <c r="D166" s="127">
        <f t="shared" si="10"/>
        <v>3.3688442211055276E-2</v>
      </c>
      <c r="E166" s="131"/>
      <c r="F166" s="97"/>
      <c r="G166" s="132"/>
      <c r="H166" s="135"/>
      <c r="I166" s="97"/>
      <c r="J166" s="97"/>
      <c r="K166" s="97"/>
      <c r="L166" s="132"/>
      <c r="M166" s="126">
        <f t="shared" si="11"/>
        <v>0</v>
      </c>
    </row>
    <row r="167" spans="1:13" x14ac:dyDescent="0.25">
      <c r="A167" s="129" t="s">
        <v>328</v>
      </c>
      <c r="B167" s="128">
        <v>186.3</v>
      </c>
      <c r="C167" s="6">
        <v>397</v>
      </c>
      <c r="D167" s="127">
        <v>1</v>
      </c>
      <c r="E167" s="131"/>
      <c r="F167" s="97"/>
      <c r="G167" s="132"/>
      <c r="H167" s="135"/>
      <c r="I167" s="97"/>
      <c r="J167" s="97"/>
      <c r="K167" s="97"/>
      <c r="L167" s="132"/>
      <c r="M167" s="126">
        <f t="shared" si="11"/>
        <v>0</v>
      </c>
    </row>
    <row r="168" spans="1:13" x14ac:dyDescent="0.25">
      <c r="A168" s="129" t="s">
        <v>128</v>
      </c>
      <c r="B168" s="128">
        <v>1609756.5</v>
      </c>
      <c r="C168" s="6">
        <v>1900</v>
      </c>
      <c r="D168" s="127">
        <f t="shared" ref="D168:D204" si="12">C168/B168</f>
        <v>1.1803027352273465E-3</v>
      </c>
      <c r="E168" s="131">
        <v>0.15</v>
      </c>
      <c r="F168" s="97">
        <f>IF(D168&lt;E168, E168*B168-C168, 0)</f>
        <v>239563.47499999998</v>
      </c>
      <c r="G168" s="132">
        <f>IF(F168&gt;SUM(H168:L168),F168-SUM(H168:L168),0)</f>
        <v>239563.47499999998</v>
      </c>
      <c r="H168" s="135"/>
      <c r="I168" s="97"/>
      <c r="J168" s="97"/>
      <c r="K168" s="97"/>
      <c r="L168" s="132"/>
      <c r="M168" s="126">
        <f t="shared" si="11"/>
        <v>239563.47499999998</v>
      </c>
    </row>
    <row r="169" spans="1:13" x14ac:dyDescent="0.25">
      <c r="A169" s="130" t="s">
        <v>329</v>
      </c>
      <c r="B169" s="128">
        <v>784501.56423777901</v>
      </c>
      <c r="C169" s="6">
        <v>0</v>
      </c>
      <c r="D169" s="127">
        <f t="shared" si="12"/>
        <v>0</v>
      </c>
      <c r="E169" s="131"/>
      <c r="F169" s="97"/>
      <c r="G169" s="132"/>
      <c r="H169" s="135"/>
      <c r="I169" s="97"/>
      <c r="J169" s="97"/>
      <c r="K169" s="97"/>
      <c r="L169" s="132"/>
      <c r="M169" s="126">
        <f t="shared" si="11"/>
        <v>0</v>
      </c>
    </row>
    <row r="170" spans="1:13" x14ac:dyDescent="0.25">
      <c r="A170" s="129" t="s">
        <v>177</v>
      </c>
      <c r="B170" s="128">
        <v>1542559.9</v>
      </c>
      <c r="C170" s="6">
        <v>186315.88</v>
      </c>
      <c r="D170" s="127">
        <f t="shared" si="12"/>
        <v>0.12078356244058984</v>
      </c>
      <c r="E170" s="131"/>
      <c r="F170" s="97"/>
      <c r="G170" s="132"/>
      <c r="H170" s="135"/>
      <c r="I170" s="97">
        <v>200</v>
      </c>
      <c r="J170" s="97"/>
      <c r="K170" s="97"/>
      <c r="L170" s="132"/>
      <c r="M170" s="126">
        <f t="shared" si="11"/>
        <v>200</v>
      </c>
    </row>
    <row r="171" spans="1:13" ht="45" x14ac:dyDescent="0.25">
      <c r="A171" s="129" t="s">
        <v>330</v>
      </c>
      <c r="B171" s="128">
        <v>1445886.7</v>
      </c>
      <c r="C171" s="6">
        <v>1065900</v>
      </c>
      <c r="D171" s="127">
        <f t="shared" si="12"/>
        <v>0.737194691672591</v>
      </c>
      <c r="E171" s="131"/>
      <c r="F171" s="97"/>
      <c r="G171" s="132"/>
      <c r="H171" s="135"/>
      <c r="I171" s="97"/>
      <c r="J171" s="97"/>
      <c r="K171" s="97"/>
      <c r="L171" s="132"/>
      <c r="M171" s="126">
        <f t="shared" si="11"/>
        <v>0</v>
      </c>
    </row>
    <row r="172" spans="1:13" x14ac:dyDescent="0.25">
      <c r="A172" s="129" t="s">
        <v>331</v>
      </c>
      <c r="B172" s="128">
        <v>1005717.3</v>
      </c>
      <c r="C172" s="6">
        <v>84218.92</v>
      </c>
      <c r="D172" s="127">
        <f t="shared" si="12"/>
        <v>8.374015242653178E-2</v>
      </c>
      <c r="E172" s="131"/>
      <c r="F172" s="97"/>
      <c r="G172" s="132"/>
      <c r="H172" s="135"/>
      <c r="I172" s="97"/>
      <c r="J172" s="97"/>
      <c r="K172" s="97"/>
      <c r="L172" s="132"/>
      <c r="M172" s="126">
        <f t="shared" si="11"/>
        <v>0</v>
      </c>
    </row>
    <row r="173" spans="1:13" x14ac:dyDescent="0.25">
      <c r="A173" s="129" t="s">
        <v>61</v>
      </c>
      <c r="B173" s="128">
        <v>534085</v>
      </c>
      <c r="C173" s="6">
        <v>399</v>
      </c>
      <c r="D173" s="127">
        <f t="shared" si="12"/>
        <v>7.4707209526573485E-4</v>
      </c>
      <c r="E173" s="131"/>
      <c r="F173" s="97"/>
      <c r="G173" s="132"/>
      <c r="H173" s="135"/>
      <c r="I173" s="97"/>
      <c r="J173" s="97">
        <v>1000</v>
      </c>
      <c r="K173" s="97"/>
      <c r="L173" s="132"/>
      <c r="M173" s="126">
        <f t="shared" si="11"/>
        <v>1000</v>
      </c>
    </row>
    <row r="174" spans="1:13" x14ac:dyDescent="0.25">
      <c r="A174" s="129" t="s">
        <v>70</v>
      </c>
      <c r="B174" s="128">
        <v>66785.600000000006</v>
      </c>
      <c r="C174" s="6">
        <v>10662</v>
      </c>
      <c r="D174" s="127">
        <f t="shared" si="12"/>
        <v>0.15964519297573129</v>
      </c>
      <c r="E174" s="131">
        <v>0.1</v>
      </c>
      <c r="F174" s="97">
        <f>IF(D174&lt;E174, E174*B174-C174, 0)</f>
        <v>0</v>
      </c>
      <c r="G174" s="132">
        <f>IF(F174&gt;SUM(H174:L174),F174-SUM(H174:L174),0)</f>
        <v>0</v>
      </c>
      <c r="H174" s="135"/>
      <c r="I174" s="97"/>
      <c r="J174" s="97"/>
      <c r="K174" s="97"/>
      <c r="L174" s="132"/>
      <c r="M174" s="126">
        <f t="shared" si="11"/>
        <v>0</v>
      </c>
    </row>
    <row r="175" spans="1:13" x14ac:dyDescent="0.25">
      <c r="A175" s="129" t="s">
        <v>332</v>
      </c>
      <c r="B175" s="128">
        <v>128363</v>
      </c>
      <c r="C175" s="6">
        <v>1981</v>
      </c>
      <c r="D175" s="127">
        <f t="shared" si="12"/>
        <v>1.5432796054937949E-2</v>
      </c>
      <c r="E175" s="131"/>
      <c r="F175" s="97"/>
      <c r="G175" s="132"/>
      <c r="H175" s="135"/>
      <c r="I175" s="97"/>
      <c r="J175" s="97"/>
      <c r="K175" s="97"/>
      <c r="L175" s="132"/>
      <c r="M175" s="126">
        <f t="shared" si="11"/>
        <v>0</v>
      </c>
    </row>
    <row r="176" spans="1:13" ht="30" x14ac:dyDescent="0.25">
      <c r="A176" s="129" t="s">
        <v>333</v>
      </c>
      <c r="B176" s="128">
        <v>1081582.1000000001</v>
      </c>
      <c r="C176" s="6">
        <v>82681</v>
      </c>
      <c r="D176" s="127">
        <f t="shared" si="12"/>
        <v>7.6444497371027126E-2</v>
      </c>
      <c r="E176" s="131"/>
      <c r="F176" s="97"/>
      <c r="G176" s="132"/>
      <c r="H176" s="135"/>
      <c r="I176" s="97"/>
      <c r="J176" s="97"/>
      <c r="K176" s="97"/>
      <c r="L176" s="132"/>
      <c r="M176" s="126">
        <f t="shared" si="11"/>
        <v>0</v>
      </c>
    </row>
    <row r="177" spans="1:14" x14ac:dyDescent="0.25">
      <c r="A177" s="129" t="s">
        <v>131</v>
      </c>
      <c r="B177" s="128">
        <v>154980.5</v>
      </c>
      <c r="C177" s="6">
        <v>23484.12</v>
      </c>
      <c r="D177" s="127">
        <f t="shared" si="12"/>
        <v>0.15152951500350043</v>
      </c>
      <c r="E177" s="131">
        <v>0.1</v>
      </c>
      <c r="F177" s="97">
        <f>IF(D177&lt;E177, E177*B177-C177, 0)</f>
        <v>0</v>
      </c>
      <c r="G177" s="132">
        <f>IF(F177&gt;SUM(H177:L177),F177-SUM(H177:L177),0)</f>
        <v>0</v>
      </c>
      <c r="H177" s="135"/>
      <c r="I177" s="97"/>
      <c r="J177" s="97"/>
      <c r="K177" s="97"/>
      <c r="L177" s="132"/>
      <c r="M177" s="126">
        <f t="shared" si="11"/>
        <v>0</v>
      </c>
    </row>
    <row r="178" spans="1:14" x14ac:dyDescent="0.25">
      <c r="A178" s="129" t="s">
        <v>334</v>
      </c>
      <c r="B178" s="128">
        <v>10203.6</v>
      </c>
      <c r="C178" s="6">
        <v>25</v>
      </c>
      <c r="D178" s="127">
        <f t="shared" si="12"/>
        <v>2.4501156454584654E-3</v>
      </c>
      <c r="E178" s="131"/>
      <c r="F178" s="97"/>
      <c r="G178" s="132"/>
      <c r="H178" s="135"/>
      <c r="I178" s="97"/>
      <c r="J178" s="97"/>
      <c r="K178" s="97"/>
      <c r="L178" s="132"/>
      <c r="M178" s="126">
        <f t="shared" si="11"/>
        <v>0</v>
      </c>
    </row>
    <row r="179" spans="1:14" x14ac:dyDescent="0.25">
      <c r="A179" s="129" t="s">
        <v>335</v>
      </c>
      <c r="B179" s="128">
        <v>342996.9</v>
      </c>
      <c r="C179" s="6">
        <v>3847</v>
      </c>
      <c r="D179" s="127">
        <f t="shared" si="12"/>
        <v>1.1215844807926834E-2</v>
      </c>
      <c r="E179" s="131"/>
      <c r="F179" s="97"/>
      <c r="G179" s="132"/>
      <c r="H179" s="135"/>
      <c r="I179" s="97"/>
      <c r="J179" s="97"/>
      <c r="K179" s="97"/>
      <c r="L179" s="132"/>
      <c r="M179" s="126">
        <f t="shared" si="11"/>
        <v>0</v>
      </c>
    </row>
    <row r="180" spans="1:14" x14ac:dyDescent="0.25">
      <c r="A180" s="129" t="s">
        <v>336</v>
      </c>
      <c r="B180" s="128">
        <v>306890.5</v>
      </c>
      <c r="C180" s="6">
        <v>5774</v>
      </c>
      <c r="D180" s="127">
        <f t="shared" si="12"/>
        <v>1.8814528308957103E-2</v>
      </c>
      <c r="E180" s="131"/>
      <c r="F180" s="97"/>
      <c r="G180" s="132"/>
      <c r="H180" s="135"/>
      <c r="I180" s="97"/>
      <c r="J180" s="97">
        <v>7000</v>
      </c>
      <c r="K180" s="97"/>
      <c r="L180" s="132"/>
      <c r="M180" s="126">
        <f t="shared" si="11"/>
        <v>7000</v>
      </c>
    </row>
    <row r="181" spans="1:14" x14ac:dyDescent="0.25">
      <c r="A181" s="129" t="s">
        <v>337</v>
      </c>
      <c r="B181" s="128">
        <v>42501.3</v>
      </c>
      <c r="C181" s="6">
        <v>584</v>
      </c>
      <c r="D181" s="127">
        <f t="shared" si="12"/>
        <v>1.3740756165105537E-2</v>
      </c>
      <c r="E181" s="131"/>
      <c r="F181" s="97"/>
      <c r="G181" s="132"/>
      <c r="H181" s="135"/>
      <c r="I181" s="97"/>
      <c r="J181" s="139">
        <v>6450</v>
      </c>
      <c r="K181" s="97"/>
      <c r="L181" s="132"/>
      <c r="M181" s="126">
        <f t="shared" si="11"/>
        <v>6450</v>
      </c>
      <c r="N181" s="98" t="s">
        <v>365</v>
      </c>
    </row>
    <row r="182" spans="1:14" x14ac:dyDescent="0.25">
      <c r="A182" s="129" t="s">
        <v>62</v>
      </c>
      <c r="B182" s="128">
        <v>15520.9</v>
      </c>
      <c r="C182" s="6">
        <v>31</v>
      </c>
      <c r="D182" s="127">
        <f t="shared" si="12"/>
        <v>1.9973068572054454E-3</v>
      </c>
      <c r="E182" s="131"/>
      <c r="F182" s="97"/>
      <c r="G182" s="132"/>
      <c r="H182" s="135"/>
      <c r="I182" s="97"/>
      <c r="J182" s="97"/>
      <c r="K182" s="97"/>
      <c r="L182" s="132"/>
      <c r="M182" s="126">
        <f t="shared" si="11"/>
        <v>0</v>
      </c>
    </row>
    <row r="183" spans="1:14" x14ac:dyDescent="0.25">
      <c r="A183" s="129" t="s">
        <v>338</v>
      </c>
      <c r="B183" s="128">
        <v>321242.5</v>
      </c>
      <c r="C183" s="6">
        <v>10</v>
      </c>
      <c r="D183" s="127">
        <f t="shared" si="12"/>
        <v>3.1129131419410571E-5</v>
      </c>
      <c r="E183" s="131"/>
      <c r="F183" s="97"/>
      <c r="G183" s="132"/>
      <c r="H183" s="135"/>
      <c r="I183" s="97"/>
      <c r="J183" s="97"/>
      <c r="K183" s="97"/>
      <c r="L183" s="132"/>
      <c r="M183" s="126">
        <f t="shared" si="11"/>
        <v>0</v>
      </c>
    </row>
    <row r="184" spans="1:14" x14ac:dyDescent="0.25">
      <c r="A184" s="129" t="s">
        <v>64</v>
      </c>
      <c r="B184" s="128">
        <v>668054.6</v>
      </c>
      <c r="C184" s="6">
        <v>10055</v>
      </c>
      <c r="D184" s="127">
        <f t="shared" si="12"/>
        <v>1.5051164979628912E-2</v>
      </c>
      <c r="E184" s="131"/>
      <c r="F184" s="97"/>
      <c r="G184" s="132"/>
      <c r="H184" s="135"/>
      <c r="I184" s="97"/>
      <c r="J184" s="97">
        <f>0.3*B184-C184</f>
        <v>190361.37999999998</v>
      </c>
      <c r="K184" s="97"/>
      <c r="L184" s="132"/>
      <c r="M184" s="126">
        <f t="shared" si="11"/>
        <v>190361.37999999998</v>
      </c>
    </row>
    <row r="185" spans="1:14" x14ac:dyDescent="0.25">
      <c r="A185" s="129" t="s">
        <v>339</v>
      </c>
      <c r="B185" s="128">
        <v>75798.5</v>
      </c>
      <c r="C185" s="6">
        <v>37</v>
      </c>
      <c r="D185" s="127">
        <f t="shared" si="12"/>
        <v>4.8813630876600459E-4</v>
      </c>
      <c r="E185" s="131"/>
      <c r="F185" s="97"/>
      <c r="G185" s="132"/>
      <c r="H185" s="135"/>
      <c r="I185" s="97"/>
      <c r="J185" s="97"/>
      <c r="K185" s="97"/>
      <c r="L185" s="132"/>
      <c r="M185" s="126">
        <f t="shared" si="11"/>
        <v>0</v>
      </c>
    </row>
    <row r="186" spans="1:14" x14ac:dyDescent="0.25">
      <c r="A186" s="129" t="s">
        <v>340</v>
      </c>
      <c r="B186" s="128">
        <v>100660.5</v>
      </c>
      <c r="C186" s="6">
        <v>1044.43</v>
      </c>
      <c r="D186" s="127">
        <f t="shared" si="12"/>
        <v>1.0375768052016432E-2</v>
      </c>
      <c r="E186" s="131"/>
      <c r="F186" s="97"/>
      <c r="G186" s="132"/>
      <c r="H186" s="135"/>
      <c r="I186" s="97"/>
      <c r="J186" s="97"/>
      <c r="K186" s="97"/>
      <c r="L186" s="132"/>
      <c r="M186" s="126">
        <f t="shared" si="11"/>
        <v>0</v>
      </c>
    </row>
    <row r="187" spans="1:14" x14ac:dyDescent="0.25">
      <c r="A187" s="129" t="s">
        <v>341</v>
      </c>
      <c r="B187" s="128">
        <v>255926</v>
      </c>
      <c r="C187" s="6">
        <v>270</v>
      </c>
      <c r="D187" s="127">
        <f t="shared" si="12"/>
        <v>1.0549924587576096E-3</v>
      </c>
      <c r="E187" s="131"/>
      <c r="F187" s="97"/>
      <c r="G187" s="132"/>
      <c r="H187" s="135"/>
      <c r="I187" s="97"/>
      <c r="J187" s="97"/>
      <c r="K187" s="97"/>
      <c r="L187" s="132"/>
      <c r="M187" s="126">
        <f t="shared" si="11"/>
        <v>0</v>
      </c>
    </row>
    <row r="188" spans="1:14" x14ac:dyDescent="0.25">
      <c r="A188" s="129" t="s">
        <v>342</v>
      </c>
      <c r="B188" s="128">
        <v>77885.2</v>
      </c>
      <c r="C188" s="6">
        <v>2332</v>
      </c>
      <c r="D188" s="127">
        <f t="shared" si="12"/>
        <v>2.9941503648960265E-2</v>
      </c>
      <c r="E188" s="131"/>
      <c r="F188" s="97"/>
      <c r="G188" s="132"/>
      <c r="H188" s="135"/>
      <c r="I188" s="97"/>
      <c r="J188" s="97"/>
      <c r="K188" s="97"/>
      <c r="L188" s="132"/>
      <c r="M188" s="126">
        <f t="shared" si="11"/>
        <v>0</v>
      </c>
    </row>
    <row r="189" spans="1:14" ht="30" x14ac:dyDescent="0.25">
      <c r="A189" s="129" t="s">
        <v>343</v>
      </c>
      <c r="B189" s="128">
        <v>154242.20000000001</v>
      </c>
      <c r="C189" s="6">
        <v>150</v>
      </c>
      <c r="D189" s="127">
        <f t="shared" si="12"/>
        <v>9.7249650225424687E-4</v>
      </c>
      <c r="E189" s="131"/>
      <c r="F189" s="97"/>
      <c r="G189" s="132"/>
      <c r="H189" s="135"/>
      <c r="I189" s="97"/>
      <c r="J189" s="97"/>
      <c r="K189" s="97"/>
      <c r="L189" s="132"/>
      <c r="M189" s="126">
        <f t="shared" si="11"/>
        <v>0</v>
      </c>
    </row>
    <row r="190" spans="1:14" x14ac:dyDescent="0.25">
      <c r="A190" s="129" t="s">
        <v>178</v>
      </c>
      <c r="B190" s="128">
        <v>731900</v>
      </c>
      <c r="C190" s="6">
        <v>62</v>
      </c>
      <c r="D190" s="127">
        <f t="shared" si="12"/>
        <v>8.4711026096461264E-5</v>
      </c>
      <c r="E190" s="131"/>
      <c r="F190" s="97"/>
      <c r="G190" s="132"/>
      <c r="H190" s="135"/>
      <c r="I190" s="97">
        <v>12</v>
      </c>
      <c r="J190" s="97">
        <f>B190/10-C190-I190</f>
        <v>73116</v>
      </c>
      <c r="K190" s="97"/>
      <c r="L190" s="132"/>
      <c r="M190" s="126">
        <f t="shared" si="11"/>
        <v>73128</v>
      </c>
    </row>
    <row r="191" spans="1:14" x14ac:dyDescent="0.25">
      <c r="A191" s="129" t="s">
        <v>133</v>
      </c>
      <c r="B191" s="128">
        <v>134873.20000000001</v>
      </c>
      <c r="C191" s="6">
        <v>4606.13</v>
      </c>
      <c r="D191" s="127">
        <f t="shared" si="12"/>
        <v>3.4151558649160842E-2</v>
      </c>
      <c r="E191" s="131">
        <v>0.1</v>
      </c>
      <c r="F191" s="97">
        <f>IF(D191&lt;E191, E191*B191-C191, 0)</f>
        <v>8881.1900000000023</v>
      </c>
      <c r="G191" s="132">
        <f>IF(F191&gt;SUM(H191:L191),F191-SUM(H191:L191),0)</f>
        <v>8881.1900000000023</v>
      </c>
      <c r="H191" s="135"/>
      <c r="I191" s="97"/>
      <c r="J191" s="97"/>
      <c r="K191" s="97"/>
      <c r="L191" s="132"/>
      <c r="M191" s="126">
        <f t="shared" si="11"/>
        <v>8881.1900000000023</v>
      </c>
    </row>
    <row r="192" spans="1:14" x14ac:dyDescent="0.25">
      <c r="A192" s="129" t="s">
        <v>26</v>
      </c>
      <c r="B192" s="128">
        <v>54711</v>
      </c>
      <c r="C192" s="6">
        <v>2336</v>
      </c>
      <c r="D192" s="127">
        <f t="shared" si="12"/>
        <v>4.2697081025753501E-2</v>
      </c>
      <c r="E192" s="131"/>
      <c r="F192" s="97"/>
      <c r="G192" s="132"/>
      <c r="H192" s="135">
        <f>0.14*B192-C192</f>
        <v>5323.5400000000009</v>
      </c>
      <c r="I192" s="97"/>
      <c r="J192" s="97"/>
      <c r="K192" s="97"/>
      <c r="L192" s="132"/>
      <c r="M192" s="126">
        <f t="shared" si="11"/>
        <v>5323.5400000000009</v>
      </c>
    </row>
    <row r="193" spans="1:13" ht="45" x14ac:dyDescent="0.25">
      <c r="A193" s="129" t="s">
        <v>344</v>
      </c>
      <c r="B193" s="128">
        <v>723404.7</v>
      </c>
      <c r="C193" s="6">
        <v>205709.27</v>
      </c>
      <c r="D193" s="127">
        <f t="shared" si="12"/>
        <v>0.2843626396123774</v>
      </c>
      <c r="E193" s="131"/>
      <c r="F193" s="97"/>
      <c r="G193" s="132"/>
      <c r="H193" s="135"/>
      <c r="I193" s="97"/>
      <c r="J193" s="97"/>
      <c r="K193" s="97"/>
      <c r="L193" s="132"/>
      <c r="M193" s="126">
        <f t="shared" si="11"/>
        <v>0</v>
      </c>
    </row>
    <row r="194" spans="1:13" ht="30" x14ac:dyDescent="0.25">
      <c r="A194" s="129" t="s">
        <v>66</v>
      </c>
      <c r="B194" s="128">
        <v>243129.60000000001</v>
      </c>
      <c r="C194" s="6">
        <v>7329.46</v>
      </c>
      <c r="D194" s="127">
        <f t="shared" si="12"/>
        <v>3.0146308799915766E-2</v>
      </c>
      <c r="E194" s="131">
        <v>0.1</v>
      </c>
      <c r="F194" s="97">
        <f>IF(D194&lt;E194, E194*B194-C194, 0)</f>
        <v>16983.500000000004</v>
      </c>
      <c r="G194" s="132">
        <f>IF(F194&gt;SUM(H194:L194),F194-SUM(H194:L194),0)</f>
        <v>16983.500000000004</v>
      </c>
      <c r="H194" s="135"/>
      <c r="I194" s="97"/>
      <c r="J194" s="97"/>
      <c r="K194" s="97"/>
      <c r="L194" s="132"/>
      <c r="M194" s="126">
        <f t="shared" si="11"/>
        <v>16983.500000000004</v>
      </c>
    </row>
    <row r="195" spans="1:13" ht="30" x14ac:dyDescent="0.25">
      <c r="A195" s="129" t="s">
        <v>345</v>
      </c>
      <c r="B195" s="128">
        <v>1964384.5</v>
      </c>
      <c r="C195" s="6">
        <v>1279788</v>
      </c>
      <c r="D195" s="127">
        <f t="shared" si="12"/>
        <v>0.65149567205401993</v>
      </c>
      <c r="E195" s="131"/>
      <c r="F195" s="97"/>
      <c r="G195" s="132"/>
      <c r="H195" s="135"/>
      <c r="I195" s="97"/>
      <c r="J195" s="97"/>
      <c r="K195" s="97"/>
      <c r="L195" s="132"/>
      <c r="M195" s="126">
        <f t="shared" ref="M195:M204" si="13">G195+H195+I195+J195+K195+L195</f>
        <v>0</v>
      </c>
    </row>
    <row r="196" spans="1:13" ht="30" x14ac:dyDescent="0.25">
      <c r="A196" s="129" t="s">
        <v>346</v>
      </c>
      <c r="B196" s="128">
        <v>8591493.0999999996</v>
      </c>
      <c r="C196" s="6">
        <v>3529636</v>
      </c>
      <c r="D196" s="127">
        <f t="shared" si="12"/>
        <v>0.41082917240543443</v>
      </c>
      <c r="E196" s="131"/>
      <c r="F196" s="97"/>
      <c r="G196" s="132"/>
      <c r="H196" s="135"/>
      <c r="I196" s="97"/>
      <c r="J196" s="97"/>
      <c r="K196" s="97"/>
      <c r="L196" s="132"/>
      <c r="M196" s="126">
        <f t="shared" si="13"/>
        <v>0</v>
      </c>
    </row>
    <row r="197" spans="1:13" ht="30" x14ac:dyDescent="0.25">
      <c r="A197" s="129" t="s">
        <v>347</v>
      </c>
      <c r="B197" s="128">
        <v>36030.300000000003</v>
      </c>
      <c r="C197" s="6">
        <v>306.27999999999997</v>
      </c>
      <c r="D197" s="127">
        <f t="shared" si="12"/>
        <v>8.5006230866798201E-3</v>
      </c>
      <c r="E197" s="131"/>
      <c r="F197" s="97"/>
      <c r="G197" s="132"/>
      <c r="H197" s="135"/>
      <c r="I197" s="97"/>
      <c r="J197" s="97"/>
      <c r="K197" s="97"/>
      <c r="L197" s="132"/>
      <c r="M197" s="126">
        <f t="shared" si="13"/>
        <v>0</v>
      </c>
    </row>
    <row r="198" spans="1:13" x14ac:dyDescent="0.25">
      <c r="A198" s="129" t="s">
        <v>135</v>
      </c>
      <c r="B198" s="128">
        <v>130098</v>
      </c>
      <c r="C198" s="6">
        <v>932</v>
      </c>
      <c r="D198" s="127">
        <f t="shared" si="12"/>
        <v>7.1638303432796811E-3</v>
      </c>
      <c r="E198" s="131">
        <v>0.02</v>
      </c>
      <c r="F198" s="97">
        <f>IF(D198&lt;E198, E198*B198-C198, 0)</f>
        <v>1669.96</v>
      </c>
      <c r="G198" s="132">
        <f>IF(F198&gt;SUM(H198:L198),F198-SUM(H198:L198),0)</f>
        <v>0</v>
      </c>
      <c r="H198" s="135">
        <f>0.02*B198-C198</f>
        <v>1669.96</v>
      </c>
      <c r="I198" s="97"/>
      <c r="J198" s="97"/>
      <c r="K198" s="97"/>
      <c r="L198" s="132"/>
      <c r="M198" s="126">
        <f t="shared" si="13"/>
        <v>1669.96</v>
      </c>
    </row>
    <row r="199" spans="1:13" x14ac:dyDescent="0.25">
      <c r="A199" s="129" t="s">
        <v>179</v>
      </c>
      <c r="B199" s="128">
        <v>622073.19999999995</v>
      </c>
      <c r="C199" s="6">
        <v>48</v>
      </c>
      <c r="D199" s="127">
        <f t="shared" si="12"/>
        <v>7.7161337283136454E-5</v>
      </c>
      <c r="E199" s="131"/>
      <c r="F199" s="97"/>
      <c r="G199" s="132"/>
      <c r="H199" s="135"/>
      <c r="I199" s="97">
        <v>200</v>
      </c>
      <c r="J199" s="97"/>
      <c r="K199" s="97"/>
      <c r="L199" s="132"/>
      <c r="M199" s="126">
        <f t="shared" si="13"/>
        <v>200</v>
      </c>
    </row>
    <row r="200" spans="1:13" ht="30" x14ac:dyDescent="0.25">
      <c r="A200" s="129" t="s">
        <v>348</v>
      </c>
      <c r="B200" s="128">
        <v>473325.1</v>
      </c>
      <c r="C200" s="6">
        <v>16500</v>
      </c>
      <c r="D200" s="127">
        <f t="shared" si="12"/>
        <v>3.4859761293030943E-2</v>
      </c>
      <c r="E200" s="131"/>
      <c r="F200" s="97"/>
      <c r="G200" s="132"/>
      <c r="H200" s="135"/>
      <c r="I200" s="97"/>
      <c r="J200" s="97"/>
      <c r="K200" s="97"/>
      <c r="L200" s="132"/>
      <c r="M200" s="126">
        <f t="shared" si="13"/>
        <v>0</v>
      </c>
    </row>
    <row r="201" spans="1:13" x14ac:dyDescent="0.25">
      <c r="A201" s="129" t="s">
        <v>137</v>
      </c>
      <c r="B201" s="128">
        <v>647232.19999999995</v>
      </c>
      <c r="C201" s="6">
        <v>3630</v>
      </c>
      <c r="D201" s="127">
        <f t="shared" si="12"/>
        <v>5.6084972286607497E-3</v>
      </c>
      <c r="E201" s="134">
        <v>2.3999999999999998E-3</v>
      </c>
      <c r="F201" s="97">
        <f>IF(D201&lt;E201, E201*B201-C201, 0)</f>
        <v>0</v>
      </c>
      <c r="G201" s="132">
        <f>IF(F201&gt;SUM(H201:L201),F201-SUM(H201:L201),0)</f>
        <v>0</v>
      </c>
      <c r="H201" s="135"/>
      <c r="I201" s="97">
        <v>1000</v>
      </c>
      <c r="J201" s="97"/>
      <c r="K201" s="97"/>
      <c r="L201" s="132"/>
      <c r="M201" s="126">
        <f t="shared" si="13"/>
        <v>1000</v>
      </c>
    </row>
    <row r="202" spans="1:13" ht="30" x14ac:dyDescent="0.25">
      <c r="A202" s="130" t="s">
        <v>349</v>
      </c>
      <c r="B202" s="128">
        <v>259805.42377861639</v>
      </c>
      <c r="C202" s="6">
        <v>0</v>
      </c>
      <c r="D202" s="127">
        <f t="shared" si="12"/>
        <v>0</v>
      </c>
      <c r="E202" s="131"/>
      <c r="F202" s="97"/>
      <c r="G202" s="132"/>
      <c r="H202" s="135"/>
      <c r="I202" s="97"/>
      <c r="J202" s="97"/>
      <c r="K202" s="97"/>
      <c r="L202" s="132"/>
      <c r="M202" s="126">
        <f t="shared" si="13"/>
        <v>0</v>
      </c>
    </row>
    <row r="203" spans="1:13" x14ac:dyDescent="0.25">
      <c r="A203" s="129" t="s">
        <v>350</v>
      </c>
      <c r="B203" s="128">
        <v>252024.3</v>
      </c>
      <c r="C203" s="6">
        <v>3710</v>
      </c>
      <c r="D203" s="127">
        <f t="shared" si="12"/>
        <v>1.4720802716246014E-2</v>
      </c>
      <c r="E203" s="131"/>
      <c r="F203" s="97"/>
      <c r="G203" s="132"/>
      <c r="H203" s="135"/>
      <c r="I203" s="97"/>
      <c r="J203" s="97"/>
      <c r="K203" s="97"/>
      <c r="L203" s="132"/>
      <c r="M203" s="126">
        <f t="shared" si="13"/>
        <v>0</v>
      </c>
    </row>
    <row r="204" spans="1:13" ht="15.75" thickBot="1" x14ac:dyDescent="0.3">
      <c r="A204" s="140" t="s">
        <v>351</v>
      </c>
      <c r="B204" s="142">
        <v>548014</v>
      </c>
      <c r="C204" s="144">
        <v>2562</v>
      </c>
      <c r="D204" s="146">
        <f t="shared" si="12"/>
        <v>4.6750630458345958E-3</v>
      </c>
      <c r="E204" s="148"/>
      <c r="F204" s="150"/>
      <c r="G204" s="152"/>
      <c r="H204" s="154"/>
      <c r="I204" s="150"/>
      <c r="J204" s="150"/>
      <c r="K204" s="150"/>
      <c r="L204" s="152"/>
      <c r="M204" s="156">
        <f t="shared" si="13"/>
        <v>0</v>
      </c>
    </row>
    <row r="205" spans="1:13" x14ac:dyDescent="0.25">
      <c r="M205" s="16"/>
    </row>
    <row r="210" spans="2:4" x14ac:dyDescent="0.25">
      <c r="B210" s="6"/>
      <c r="C210" s="6"/>
      <c r="D210" s="120"/>
    </row>
    <row r="211" spans="2:4" x14ac:dyDescent="0.25">
      <c r="B211" s="6"/>
      <c r="C211" s="6"/>
      <c r="D211" s="120"/>
    </row>
    <row r="212" spans="2:4" x14ac:dyDescent="0.25">
      <c r="B212" s="6"/>
      <c r="C212" s="6"/>
      <c r="D212" s="120"/>
    </row>
    <row r="213" spans="2:4" x14ac:dyDescent="0.25">
      <c r="B213" s="6"/>
      <c r="C213" s="6"/>
      <c r="D213" s="120"/>
    </row>
    <row r="214" spans="2:4" x14ac:dyDescent="0.25">
      <c r="B214" s="6"/>
      <c r="C214" s="6"/>
      <c r="D214" s="120"/>
    </row>
  </sheetData>
  <autoFilter ref="A1:N205">
    <sortState ref="A2:N205">
      <sortCondition ref="A1:A205"/>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Totals</vt:lpstr>
      <vt:lpstr>Priority Actions</vt:lpstr>
      <vt:lpstr>GEF projects</vt:lpstr>
      <vt:lpstr>Ocean Conf commitments</vt:lpstr>
      <vt:lpstr>Other LMPAs</vt:lpstr>
      <vt:lpstr>M and C Challenges</vt:lpstr>
      <vt:lpstr>NBSAPs</vt:lpstr>
      <vt:lpstr>All country data</vt:lpstr>
    </vt:vector>
  </TitlesOfParts>
  <Company>SCBD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sarat babu gidda</cp:lastModifiedBy>
  <cp:lastPrinted>2017-05-31T16:11:11Z</cp:lastPrinted>
  <dcterms:created xsi:type="dcterms:W3CDTF">2017-05-29T17:22:28Z</dcterms:created>
  <dcterms:modified xsi:type="dcterms:W3CDTF">2017-09-18T15:54:09Z</dcterms:modified>
</cp:coreProperties>
</file>